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8795" windowHeight="14175" activeTab="0"/>
  </bookViews>
  <sheets>
    <sheet name="общие сведения" sheetId="1" r:id="rId1"/>
    <sheet name="ЭЗ" sheetId="2" r:id="rId2"/>
    <sheet name="утв" sheetId="3" r:id="rId3"/>
  </sheets>
  <externalReferences>
    <externalReference r:id="rId6"/>
    <externalReference r:id="rId7"/>
    <externalReference r:id="rId8"/>
  </externalReferences>
  <definedNames>
    <definedName name="_72ч" localSheetId="0">'общие сведения'!$A$167</definedName>
    <definedName name="_72ч">#REF!</definedName>
    <definedName name="_ftn1" localSheetId="2">'утв'!#REF!</definedName>
    <definedName name="_ftn1" localSheetId="1">'ЭЗ'!#REF!</definedName>
    <definedName name="_ftn2" localSheetId="2">'утв'!#REF!</definedName>
    <definedName name="_ftn2" localSheetId="1">'ЭЗ'!#REF!</definedName>
    <definedName name="_ftnref1" localSheetId="2">'утв'!#REF!</definedName>
    <definedName name="_ftnref1" localSheetId="1">'ЭЗ'!#REF!</definedName>
    <definedName name="_ftnref2" localSheetId="2">'утв'!#REF!</definedName>
    <definedName name="_ftnref2" localSheetId="1">'ЭЗ'!$B$389</definedName>
    <definedName name="_vsego" localSheetId="2">'утв'!#REF!</definedName>
    <definedName name="_vsego">'ЭЗ'!$H$458</definedName>
    <definedName name="_xlfn.BAHTTEXT" hidden="1">#NAME?</definedName>
    <definedName name="_дпо" localSheetId="0">'общие сведения'!$A$171</definedName>
    <definedName name="_дпо">#REF!</definedName>
    <definedName name="_порог_в" localSheetId="2">'утв'!#REF!</definedName>
    <definedName name="_порог_в">'ЭЗ'!$F$456</definedName>
    <definedName name="_порог_п" localSheetId="2">'утв'!#REF!</definedName>
    <definedName name="_порог_п">'ЭЗ'!$F$455</definedName>
    <definedName name="_рек3" localSheetId="0">'общие сведения'!$A$173</definedName>
    <definedName name="_рек3" localSheetId="2">#REF!</definedName>
    <definedName name="_рек3">#REF!</definedName>
    <definedName name="data_kat">#REF!</definedName>
    <definedName name="dolgnost">#REF!</definedName>
    <definedName name="exp1">#REF!</definedName>
    <definedName name="exp2">#REF!</definedName>
    <definedName name="exp3">#REF!</definedName>
    <definedName name="fio" localSheetId="2">'утв'!$D$41</definedName>
    <definedName name="fio">'ЭЗ'!$D$41</definedName>
    <definedName name="g_o_m_r_1">#REF!</definedName>
    <definedName name="g_o_m_r_2">#REF!</definedName>
    <definedName name="kat_">#REF!</definedName>
    <definedName name="kat_z">#REF!</definedName>
    <definedName name="preds">#REF!</definedName>
    <definedName name="proverka" localSheetId="2">'утв'!#REF!</definedName>
    <definedName name="proverka">'ЭЗ'!$B$485:$I$498</definedName>
    <definedName name="rabota">#REF!</definedName>
    <definedName name="stag">#REF!</definedName>
    <definedName name="vsego">#REF!</definedName>
    <definedName name="версия">'общие сведения'!$V$1</definedName>
    <definedName name="Всего">'[1]ЭЗ'!$AN$423</definedName>
    <definedName name="вуз_1">'общие сведения'!$B$40</definedName>
    <definedName name="вуз_2">'общие сведения'!$B$44</definedName>
    <definedName name="вуз_3">'общие сведения'!$B$48</definedName>
    <definedName name="вывод">#REF!</definedName>
    <definedName name="вывод1" localSheetId="0">'общие сведения'!$F$71</definedName>
    <definedName name="вывод1">#REF!</definedName>
    <definedName name="год">'общие сведения'!$H$98</definedName>
    <definedName name="год_вуз_1">'общие сведения'!$E$42</definedName>
    <definedName name="год_вуз_2">'общие сведения'!$E$46</definedName>
    <definedName name="год_вуз_3">'общие сведения'!$E$50</definedName>
    <definedName name="год_доп_по" localSheetId="2">'общие сведения'!#REF!</definedName>
    <definedName name="год_доп_по">'общие сведения'!#REF!</definedName>
    <definedName name="датаПрисв_ОС">'[2]общие сведения'!$I$41</definedName>
    <definedName name="доп_по" localSheetId="2">'общие сведения'!#REF!</definedName>
    <definedName name="доп_по">'общие сведения'!#REF!</definedName>
    <definedName name="итого" localSheetId="2">'утв'!#REF!</definedName>
    <definedName name="итого">'ЭЗ'!#REF!</definedName>
    <definedName name="итого_1" localSheetId="2">'утв'!#REF!</definedName>
    <definedName name="итого_1">'ЭЗ'!$N$105</definedName>
    <definedName name="итого_2" localSheetId="2">'утв'!#REF!</definedName>
    <definedName name="итого_2">'ЭЗ'!$N$133</definedName>
    <definedName name="итого_3" localSheetId="2">'утв'!#REF!</definedName>
    <definedName name="итого_3">'ЭЗ'!$N$224</definedName>
    <definedName name="налич_кат">'общие сведения'!$F$41</definedName>
    <definedName name="_xlnm.Print_Area" localSheetId="0">'общие сведения'!$A$3:$J$104</definedName>
    <definedName name="_xlnm.Print_Area" localSheetId="2">'утв'!$A$34:$I$99</definedName>
    <definedName name="_xlnm.Print_Area" localSheetId="1">'ЭЗ'!$A$34:$I$483</definedName>
    <definedName name="ПК" localSheetId="2">'общие сведения'!#REF!</definedName>
    <definedName name="ПК">'общие сведения'!#REF!</definedName>
    <definedName name="порог_в">'[1]ЭЗ'!$X$421</definedName>
    <definedName name="порог_п">'[1]ЭЗ'!$X$420</definedName>
    <definedName name="рез_2" localSheetId="0">'общие сведения'!$A$82</definedName>
    <definedName name="рез_2">#REF!</definedName>
    <definedName name="рез_3" localSheetId="0">'общие сведения'!$A$83</definedName>
    <definedName name="рез_3">#REF!</definedName>
    <definedName name="рек_итог">'общие сведения'!$L$169</definedName>
    <definedName name="рек_общ" localSheetId="0">'общие сведения'!$L$168</definedName>
    <definedName name="рек_общ">#REF!</definedName>
    <definedName name="рек2" localSheetId="0">'общие сведения'!$I$79</definedName>
    <definedName name="рек2">#REF!</definedName>
    <definedName name="рек3" localSheetId="0">'общие сведения'!$I$77</definedName>
    <definedName name="рек3">#REF!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Наименование образовательного учреждения
</t>
        </r>
        <r>
          <rPr>
            <sz val="9"/>
            <rFont val="Tahoma"/>
            <family val="2"/>
          </rPr>
          <t xml:space="preserve">(для редактирования - двойной щелчок левой кнопкой мыши по ячейке) </t>
        </r>
      </text>
    </comment>
    <comment ref="B40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"Дошкольное ...", квалификация: воспитатель
</t>
        </r>
        <r>
          <rPr>
            <b/>
            <i/>
            <sz val="9"/>
            <rFont val="Tahoma"/>
            <family val="2"/>
          </rPr>
          <t>---
Проверьте, что текст виден полностью на листе "ЭЗ"</t>
        </r>
      </text>
    </comment>
    <comment ref="B4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СПО  МО</t>
        </r>
        <r>
          <rPr>
            <i/>
            <sz val="9"/>
            <rFont val="Tahoma"/>
            <family val="2"/>
          </rPr>
          <t xml:space="preserve">  ….
---
</t>
        </r>
        <r>
          <rPr>
            <b/>
            <i/>
            <sz val="9"/>
            <rFont val="Tahoma"/>
            <family val="2"/>
          </rPr>
          <t>Проверьте, что текст виден полностью на листе "ЭЗ"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
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ВО 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---
</t>
        </r>
        <r>
          <rPr>
            <b/>
            <i/>
            <sz val="9"/>
            <rFont val="Tahoma"/>
            <family val="2"/>
          </rPr>
          <t>Проверьте, что текст виден полностью на листе "ЭЗ"</t>
        </r>
      </text>
    </comment>
    <comment ref="B5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>Например,
ГОУ ВО  МО Академия социального управления, г.Москва. ….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K33" authorId="0">
      <text>
        <r>
          <rPr>
            <b/>
            <sz val="9"/>
            <rFont val="Tahoma"/>
            <family val="2"/>
          </rPr>
          <t xml:space="preserve">проверка на правильность определения должности
</t>
        </r>
      </text>
    </comment>
    <comment ref="I393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№7</t>
        </r>
      </text>
    </comment>
    <comment ref="H443" authorId="1">
      <text>
        <r>
          <rPr>
            <b/>
            <sz val="9"/>
            <rFont val="Tahoma"/>
            <family val="2"/>
          </rPr>
          <t xml:space="preserve">Примечание:  </t>
        </r>
        <r>
          <rPr>
            <sz val="9"/>
            <rFont val="Tahoma"/>
            <family val="2"/>
          </rPr>
          <t xml:space="preserve">   
с 01.09.2013 г. учитываются только дипломы 
</t>
        </r>
      </text>
    </comment>
    <comment ref="F240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F268" authorId="2">
      <text>
        <r>
          <rPr>
            <b/>
            <sz val="9"/>
            <rFont val="Tahoma"/>
            <family val="2"/>
          </rPr>
          <t>Заполняется только на педагога, аттестующегося    на высшую квалификационную категорию</t>
        </r>
      </text>
    </comment>
    <comment ref="B326" authorId="1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sz val="9"/>
            <rFont val="Tahoma"/>
            <family val="2"/>
          </rPr>
          <t xml:space="preserve">  
 публикации учитываются в соответствии  с рекомендуемым перечнем.</t>
        </r>
      </text>
    </comment>
    <comment ref="B425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H445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  <comment ref="F22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H22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K33" authorId="0">
      <text>
        <r>
          <rPr>
            <b/>
            <sz val="9"/>
            <rFont val="Tahoma"/>
            <family val="2"/>
          </rPr>
          <t xml:space="preserve">проверка на правильность определения должности
</t>
        </r>
      </text>
    </comment>
  </commentList>
</comments>
</file>

<file path=xl/sharedStrings.xml><?xml version="1.0" encoding="utf-8"?>
<sst xmlns="http://schemas.openxmlformats.org/spreadsheetml/2006/main" count="1102" uniqueCount="661">
  <si>
    <t>3-7 конф. - 20б</t>
  </si>
  <si>
    <t>8 и более - 30б</t>
  </si>
  <si>
    <t>1-2 меропр. - 10б.</t>
  </si>
  <si>
    <t>1-2 меропр. - 30б.</t>
  </si>
  <si>
    <t>1 меропр.- 70б.</t>
  </si>
  <si>
    <t>3-7 меропр.- 20б.</t>
  </si>
  <si>
    <t>2 меропр.- 80б.</t>
  </si>
  <si>
    <t>3 и более -100б.</t>
  </si>
  <si>
    <t>30-100</t>
  </si>
  <si>
    <t>70-150</t>
  </si>
  <si>
    <t>Участие-30б</t>
  </si>
  <si>
    <t>Участие-70б.</t>
  </si>
  <si>
    <t>Участие-100б.</t>
  </si>
  <si>
    <t>2 и более - 200б</t>
  </si>
  <si>
    <t>3-7 конф.- 70б</t>
  </si>
  <si>
    <t>3-7 конф.- 40б</t>
  </si>
  <si>
    <t>1-2 конф.- 30б</t>
  </si>
  <si>
    <t>1-2 конф.- 50б</t>
  </si>
  <si>
    <t>8 и более -100б</t>
  </si>
  <si>
    <t>3-4 конф. - 150б</t>
  </si>
  <si>
    <t>5 и более - 170б</t>
  </si>
  <si>
    <t>1-2 конф.- 130б</t>
  </si>
  <si>
    <t>1 конф.- 170б.</t>
  </si>
  <si>
    <t>3 и более -150б.</t>
  </si>
  <si>
    <t>3-7 публ.- 20б.</t>
  </si>
  <si>
    <t xml:space="preserve"> 10-30  </t>
  </si>
  <si>
    <t>Муницип.</t>
  </si>
  <si>
    <t xml:space="preserve">Менее 50% </t>
  </si>
  <si>
    <t xml:space="preserve">От 50  до 80 % </t>
  </si>
  <si>
    <t>80 %  и более</t>
  </si>
  <si>
    <t>1-2 чел.- 10б.
3-7 чел.- 20б.
8 и более - 30б.</t>
  </si>
  <si>
    <t>1-2 чел.- 30б.
3-7 чел.- 40б.
8 и более - 50б.</t>
  </si>
  <si>
    <t>1-2 чел.- 50б.
3-7 чел.- 60б.
8 и более - 70б.</t>
  </si>
  <si>
    <r>
      <t>(баллы  суммируются</t>
    </r>
    <r>
      <rPr>
        <sz val="10"/>
        <rFont val="Times New Roman"/>
        <family val="1"/>
      </rPr>
      <t>)</t>
    </r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</si>
  <si>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</si>
  <si>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</si>
  <si>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</si>
  <si>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</si>
  <si>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</si>
  <si>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</si>
  <si>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</si>
  <si>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</si>
  <si>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</si>
  <si>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</si>
  <si>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</si>
  <si>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</si>
  <si>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</si>
  <si>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</si>
  <si>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</si>
  <si>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</si>
  <si>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</si>
  <si>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</si>
  <si>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</si>
  <si>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 xml:space="preserve">  Дата заполнения экспертного заключения  </t>
  </si>
  <si>
    <t>70-100</t>
  </si>
  <si>
    <t>60 - 100</t>
  </si>
  <si>
    <t>2 выст.- 60б.</t>
  </si>
  <si>
    <t>1 выст.- 50б.</t>
  </si>
  <si>
    <t>8 и более - 30б.</t>
  </si>
  <si>
    <t>1-2 публ.- 10б.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</si>
  <si>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</si>
  <si>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</si>
  <si>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</si>
  <si>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</si>
  <si>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</si>
  <si>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</si>
  <si>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</si>
  <si>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</si>
  <si>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</si>
  <si>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</si>
  <si>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</si>
  <si>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</si>
  <si>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</si>
  <si>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</si>
  <si>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</si>
  <si>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</si>
  <si>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</si>
  <si>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</si>
  <si>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</si>
  <si>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</si>
  <si>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</si>
  <si>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</si>
  <si>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</si>
  <si>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</si>
  <si>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</si>
  <si>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</si>
  <si>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</si>
  <si>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</si>
  <si>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</si>
  <si>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</si>
  <si>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</si>
  <si>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</si>
  <si>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</si>
  <si>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</si>
  <si>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</si>
  <si>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</si>
  <si>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</si>
  <si>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</si>
  <si>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</si>
  <si>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</si>
  <si>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</si>
  <si>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</si>
  <si>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</si>
  <si>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</si>
  <si>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</si>
  <si>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</si>
  <si>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</si>
  <si>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</si>
  <si>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</si>
  <si>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</si>
  <si>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</si>
  <si>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</si>
  <si>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</si>
  <si>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</si>
  <si>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</si>
  <si>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</si>
  <si>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</si>
  <si>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</si>
  <si>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</si>
  <si>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</si>
  <si>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</si>
  <si>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Показатели</t>
  </si>
  <si>
    <t>Количество баллов по каждому показателю</t>
  </si>
  <si>
    <t>(баллы суммируются)</t>
  </si>
  <si>
    <t>2.1.</t>
  </si>
  <si>
    <t>уровень</t>
  </si>
  <si>
    <t>Региональн.</t>
  </si>
  <si>
    <t>Федеральн.</t>
  </si>
  <si>
    <t>Региональн. уровень</t>
  </si>
  <si>
    <r>
      <t>(баллы суммируются</t>
    </r>
    <r>
      <rPr>
        <sz val="10"/>
        <rFont val="Times New Roman"/>
        <family val="1"/>
      </rPr>
      <t>)</t>
    </r>
  </si>
  <si>
    <r>
      <t>(баллы не суммируются</t>
    </r>
    <r>
      <rPr>
        <sz val="10"/>
        <rFont val="Times New Roman"/>
        <family val="1"/>
      </rPr>
      <t>)</t>
    </r>
  </si>
  <si>
    <t>2.2.</t>
  </si>
  <si>
    <t>Награды</t>
  </si>
  <si>
    <t>Не имеет</t>
  </si>
  <si>
    <t>Федеральн. уровень</t>
  </si>
  <si>
    <t>Профессиональное развитие</t>
  </si>
  <si>
    <t>216 ч.</t>
  </si>
  <si>
    <t>* Бонусный показатель</t>
  </si>
  <si>
    <t>Подтверждающие документы</t>
  </si>
  <si>
    <t>2.3.</t>
  </si>
  <si>
    <t>Подтверждающие 
документы</t>
  </si>
  <si>
    <t xml:space="preserve"> менее 
72 ч.</t>
  </si>
  <si>
    <t xml:space="preserve"> - </t>
  </si>
  <si>
    <t>Председатель</t>
  </si>
  <si>
    <t>Первая квалификационная категория</t>
  </si>
  <si>
    <t>Высшая квалификационная категория</t>
  </si>
  <si>
    <t>подпись аттестуемого</t>
  </si>
  <si>
    <t>Ф.И.О.</t>
  </si>
  <si>
    <t>высшей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</si>
  <si>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</si>
  <si>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</si>
  <si>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</si>
  <si>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</si>
  <si>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</si>
  <si>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</si>
  <si>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</si>
  <si>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</si>
  <si>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</si>
  <si>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</si>
  <si>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</si>
  <si>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</si>
  <si>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</si>
  <si>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</si>
  <si>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</si>
  <si>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</si>
  <si>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</si>
  <si>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</si>
  <si>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</si>
  <si>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1 публ.- 50б.</t>
  </si>
  <si>
    <t>2 публ.- 60б.</t>
  </si>
  <si>
    <t>3-7 выст- 20б.</t>
  </si>
  <si>
    <t>1-2 выст- 10б.</t>
  </si>
  <si>
    <t xml:space="preserve">Не 
обучается
</t>
  </si>
  <si>
    <t>Не 
обучается</t>
  </si>
  <si>
    <t>Материалы на сайте и их представле ние</t>
  </si>
  <si>
    <t>нет</t>
  </si>
  <si>
    <t>Опыт 
не 
представ- лен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</si>
  <si>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</si>
  <si>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</si>
  <si>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</si>
  <si>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</si>
  <si>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</si>
  <si>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</si>
  <si>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</si>
  <si>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</si>
  <si>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</si>
  <si>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</si>
  <si>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</si>
  <si>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</si>
  <si>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</si>
  <si>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</si>
  <si>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</si>
  <si>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</si>
  <si>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</si>
  <si>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</si>
  <si>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</si>
  <si>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</si>
  <si>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</si>
  <si>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</si>
  <si>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</si>
  <si>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</si>
  <si>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</si>
  <si>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</si>
  <si>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</si>
  <si>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</si>
  <si>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</si>
  <si>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</si>
  <si>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</si>
  <si>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</si>
  <si>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</si>
  <si>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</si>
  <si>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</si>
  <si>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</si>
  <si>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</si>
  <si>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</si>
  <si>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</si>
  <si>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</si>
  <si>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</si>
  <si>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</si>
  <si>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</si>
  <si>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</si>
  <si>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</si>
  <si>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</si>
  <si>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</si>
  <si>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</si>
  <si>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</si>
  <si>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городской округ</t>
  </si>
  <si>
    <t>10-200</t>
  </si>
  <si>
    <t xml:space="preserve">
Не участвует</t>
  </si>
  <si>
    <t>Нет</t>
  </si>
  <si>
    <t>с заключением ознакомлен(а)  и согласен (согласна) / не согласен (не согласна)</t>
  </si>
  <si>
    <t>(баллы не суммируются)</t>
  </si>
  <si>
    <t>100-250</t>
  </si>
  <si>
    <t>300-500</t>
  </si>
  <si>
    <t>сентября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</si>
  <si>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</si>
  <si>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</si>
  <si>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</si>
  <si>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</si>
  <si>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</si>
  <si>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</si>
  <si>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</si>
  <si>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</si>
  <si>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</si>
  <si>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Реком., по результатам ввода баллов на листе ЭЗ и если вывод за межатт. =да</t>
  </si>
  <si>
    <t>ИТОГовая формула -&gt;</t>
  </si>
  <si>
    <t>/^\ рекомендации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</si>
  <si>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</si>
  <si>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оставить строку пустой, сортировать от К2 до N23 по алфавиту</t>
  </si>
  <si>
    <t>0</t>
  </si>
  <si>
    <t>10-30</t>
  </si>
  <si>
    <t>50-70</t>
  </si>
  <si>
    <t>Не 
участвует</t>
  </si>
  <si>
    <t>Муниципал.</t>
  </si>
  <si>
    <t>Федеральн. и</t>
  </si>
  <si>
    <t>междунар.ур.</t>
  </si>
  <si>
    <t>3-7выст-  40б.</t>
  </si>
  <si>
    <t>8 и более - 50б.</t>
  </si>
  <si>
    <t>3-7 публ.- 40б.</t>
  </si>
  <si>
    <t>3 и более - 100</t>
  </si>
  <si>
    <t>Муниципал. уровень</t>
  </si>
  <si>
    <t>Обучение в аспирантуре, соискатель- ство</t>
  </si>
  <si>
    <t>« __ » ___________  20__г.</t>
  </si>
  <si>
    <t>Председатель 
экспертной группы</t>
  </si>
  <si>
    <t>1 год – 300 б.
2 года – 400 б.
3 и более – 500 б.</t>
  </si>
  <si>
    <t>100-200</t>
  </si>
  <si>
    <t>1 выст.- 80б.</t>
  </si>
  <si>
    <t>2 выст.- 90б.</t>
  </si>
  <si>
    <t>1-2 выст- 30б.</t>
  </si>
  <si>
    <t>30-50</t>
  </si>
  <si>
    <t>80-100</t>
  </si>
  <si>
    <t>3и более -100б.</t>
  </si>
  <si>
    <t>1-2 публ.- 30б.</t>
  </si>
  <si>
    <t>1 публ.- 80б.</t>
  </si>
  <si>
    <t>2 публ.- 90б.</t>
  </si>
  <si>
    <r>
      <rPr>
        <i/>
        <sz val="9"/>
        <rFont val="Times New Roman"/>
        <family val="1"/>
      </rPr>
      <t>1 выезд – 100 б.
2-3 выезда  – 150 б.
4-6 выездов – 200 б.
7 и более  – 250 б</t>
    </r>
    <r>
      <rPr>
        <sz val="9"/>
        <rFont val="Times New Roman"/>
        <family val="1"/>
      </rPr>
      <t>.</t>
    </r>
  </si>
  <si>
    <t xml:space="preserve"> --  кол-во символов в наименовании ОУ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</si>
  <si>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</si>
  <si>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Наличие/получение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</si>
  <si>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t>да,нет  или нет,нет -дать рекомендацию</t>
  </si>
  <si>
    <t xml:space="preserve">Получить  дополнительное профессиональное образование по направлению  "Образование и педагогика"   </t>
  </si>
  <si>
    <t>данет</t>
  </si>
  <si>
    <t>педагога дополнительного образования</t>
  </si>
  <si>
    <r>
      <t>4 и более - 80б</t>
    </r>
    <r>
      <rPr>
        <sz val="9"/>
        <rFont val="Times New Roman"/>
        <family val="1"/>
      </rPr>
      <t>.</t>
    </r>
  </si>
  <si>
    <r>
      <t>3 выст.- 70б</t>
    </r>
    <r>
      <rPr>
        <sz val="9"/>
        <rFont val="Times New Roman"/>
        <family val="1"/>
      </rPr>
      <t>.</t>
    </r>
  </si>
  <si>
    <t>50-80</t>
  </si>
  <si>
    <t>3 публ.- 70б.</t>
  </si>
  <si>
    <t>1 меропр.- 50б.</t>
  </si>
  <si>
    <t>3-7 меропр.- 40б.</t>
  </si>
  <si>
    <t>2 меропр.- 60б.</t>
  </si>
  <si>
    <t>1-2 меропр.-10</t>
  </si>
  <si>
    <t>3-7 меропр.-20</t>
  </si>
  <si>
    <t>1-2 меропр.-30</t>
  </si>
  <si>
    <t>3-7 меропр.-40</t>
  </si>
  <si>
    <t>1 меропр.-50б.</t>
  </si>
  <si>
    <t>2 меропр.-60б.</t>
  </si>
  <si>
    <t>1 меропр.-80б.</t>
  </si>
  <si>
    <t>2 меропр.-90б.</t>
  </si>
  <si>
    <t>3 меропр.-70б.</t>
  </si>
  <si>
    <t>Не проводит</t>
  </si>
  <si>
    <t>Не
 участвует</t>
  </si>
  <si>
    <t>3г. и более - 30б.</t>
  </si>
  <si>
    <t>1-й год - 10б.</t>
  </si>
  <si>
    <t>2-й год - 20б.</t>
  </si>
  <si>
    <t>1-й год - 30б.</t>
  </si>
  <si>
    <t>2-й год -  40б.</t>
  </si>
  <si>
    <t>2-й год - 60б.</t>
  </si>
  <si>
    <t>1-й год .- 50б.</t>
  </si>
  <si>
    <t>1-й год - 80б.</t>
  </si>
  <si>
    <t>2-й год - 90б.</t>
  </si>
  <si>
    <t>3г. и более -100б.</t>
  </si>
  <si>
    <r>
      <t>3-й год - 70б</t>
    </r>
    <r>
      <rPr>
        <sz val="9"/>
        <rFont val="Times New Roman"/>
        <family val="1"/>
      </rPr>
      <t>.</t>
    </r>
  </si>
  <si>
    <r>
      <t>4г.  и более - 80б</t>
    </r>
    <r>
      <rPr>
        <sz val="9"/>
        <rFont val="Times New Roman"/>
        <family val="1"/>
      </rPr>
      <t>.</t>
    </r>
  </si>
  <si>
    <t xml:space="preserve">Не руководит
</t>
  </si>
  <si>
    <t>Копии приказов, справки</t>
  </si>
  <si>
    <t>Не участвует</t>
  </si>
  <si>
    <t>победитель/ призер</t>
  </si>
  <si>
    <t>Международ.</t>
  </si>
  <si>
    <t>1 меропр.-120б.</t>
  </si>
  <si>
    <t>2 меропр.-130б.</t>
  </si>
  <si>
    <t>1меропр.-120б</t>
  </si>
  <si>
    <t>3и более -150б.</t>
  </si>
  <si>
    <t>2меропр.-130б</t>
  </si>
  <si>
    <t>120-150</t>
  </si>
  <si>
    <t>Подтверж-  дающие документы</t>
  </si>
  <si>
    <t>Не прово-дится</t>
  </si>
  <si>
    <t>Обеспечивается 
не в полном объеме</t>
  </si>
  <si>
    <t>Обеспечивается 
в полном объеме</t>
  </si>
  <si>
    <t>Не обеспеч.</t>
  </si>
  <si>
    <t xml:space="preserve">Не разра- батывает </t>
  </si>
  <si>
    <t xml:space="preserve">Муниципальный/
зональный/ районный ур.
</t>
  </si>
  <si>
    <t>Опыт представлен на различных профессион. сайтах</t>
  </si>
  <si>
    <t>Опыт представл. на собственных странице/ блоге</t>
  </si>
  <si>
    <r>
      <t xml:space="preserve">Опыт представл. на собственном </t>
    </r>
    <r>
      <rPr>
        <sz val="9"/>
        <rFont val="Times New Roman"/>
        <family val="1"/>
      </rPr>
      <t>профессио- нальном сайте</t>
    </r>
  </si>
  <si>
    <t xml:space="preserve">10-30  </t>
  </si>
  <si>
    <t>20-50</t>
  </si>
  <si>
    <t>Грамоты, дипломы или др. до- кументы, подтверж- дающие победы, призовые места и участие</t>
  </si>
  <si>
    <t>Уровень</t>
  </si>
  <si>
    <t>6 и более - 30б</t>
  </si>
  <si>
    <t>8 и более - 50б</t>
  </si>
  <si>
    <t>8 и более - 100б</t>
  </si>
  <si>
    <t>3 и более - 150б</t>
  </si>
  <si>
    <t>Участие -10б</t>
  </si>
  <si>
    <t>Участие-20б</t>
  </si>
  <si>
    <t>1-2 конф. - 10б</t>
  </si>
  <si>
    <t>1-2 мер.-10</t>
  </si>
  <si>
    <t>3-7 меропр. -20</t>
  </si>
  <si>
    <t>Нет публика- ций</t>
  </si>
  <si>
    <t>Да</t>
  </si>
  <si>
    <t>1-5 поб./пр.- 20б</t>
  </si>
  <si>
    <t xml:space="preserve">3-7 поб./пр.- 40б </t>
  </si>
  <si>
    <t>1-2 поб./пр. -30б</t>
  </si>
  <si>
    <t>1-2 поб./пр. - 50б</t>
  </si>
  <si>
    <t xml:space="preserve">3-7 поб./пр. - 70б </t>
  </si>
  <si>
    <t>1 поб./пр. - 100б</t>
  </si>
  <si>
    <t xml:space="preserve">2 поб./пр. - 130б </t>
  </si>
  <si>
    <t>1 поб./пр. - 170б</t>
  </si>
  <si>
    <r>
      <t xml:space="preserve">Обучение в вузе/ сузе </t>
    </r>
    <r>
      <rPr>
        <sz val="10"/>
        <rFont val="Times New Roman"/>
        <family val="1"/>
      </rPr>
      <t>(профессиональное/педагогическое образование)</t>
    </r>
  </si>
  <si>
    <t>Соколова Татьяна Ивановна</t>
  </si>
  <si>
    <t>30-70</t>
  </si>
  <si>
    <t>40-100</t>
  </si>
  <si>
    <t>50-150</t>
  </si>
  <si>
    <t>Зональный</t>
  </si>
  <si>
    <t>Регионал.</t>
  </si>
  <si>
    <t>Федеральн,</t>
  </si>
  <si>
    <t>победитель / призер</t>
  </si>
  <si>
    <t>1 конк.-20б</t>
  </si>
  <si>
    <t>1 конк.- 30б</t>
  </si>
  <si>
    <t>1 конк.- 50б</t>
  </si>
  <si>
    <t>1 конк.- 70б</t>
  </si>
  <si>
    <t>1 конк.- 100</t>
  </si>
  <si>
    <t>2 и более - 30б.</t>
  </si>
  <si>
    <t>2 и более - 50б.</t>
  </si>
  <si>
    <t>2 конк. -60б. 
3 и более -70</t>
  </si>
  <si>
    <t>2 конк. - 80б
3 конк. - 90б</t>
  </si>
  <si>
    <t>2 конк.- 120
3 конк.- 140</t>
  </si>
  <si>
    <t>4и более-100</t>
  </si>
  <si>
    <t>4и более-150</t>
  </si>
  <si>
    <t>участие - 10б.</t>
  </si>
  <si>
    <t>участие - 20б.</t>
  </si>
  <si>
    <t>участие - 30б.</t>
  </si>
  <si>
    <t>участие - 40б.</t>
  </si>
  <si>
    <t>участие - 50б.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</si>
  <si>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</si>
  <si>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</si>
  <si>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>(Приказ Министерства образования и науки РФ от 7 апреля 2014 г. № 276 «Об утверждении Порядка проведения аттестации 
педагогических работников организаций, осуществляющих образовательную деятельность»)</t>
  </si>
  <si>
    <t>1.1.</t>
  </si>
  <si>
    <t>10 - 50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</si>
  <si>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</si>
  <si>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>1.2.</t>
  </si>
  <si>
    <t>1.3.</t>
  </si>
  <si>
    <t>1.4.</t>
  </si>
  <si>
    <t xml:space="preserve"> (далее – Прил. № 1)</t>
  </si>
  <si>
    <t>2. итого =</t>
  </si>
  <si>
    <t xml:space="preserve">Наличие почетных званий детского коллектива*
</t>
  </si>
  <si>
    <t>Проводится 
периодически</t>
  </si>
  <si>
    <t>Проводится
 систематически</t>
  </si>
  <si>
    <t>2.4.</t>
  </si>
  <si>
    <t>2.5.</t>
  </si>
  <si>
    <t>2.6.</t>
  </si>
  <si>
    <t>2.7.</t>
  </si>
  <si>
    <t>2.8.</t>
  </si>
  <si>
    <t xml:space="preserve">Проведение родительских собраний
</t>
  </si>
  <si>
    <t>(далее – Прил. № 6)</t>
  </si>
  <si>
    <t>(далее – Прил. № 3)</t>
  </si>
  <si>
    <t>Руководство методичес-  
кими объединениями *</t>
  </si>
  <si>
    <t xml:space="preserve"> междун.ур. </t>
  </si>
  <si>
    <t xml:space="preserve">Участие  в конкурсах профессионального мастерства * </t>
  </si>
  <si>
    <t xml:space="preserve">Обеспечение сохранности контингента обучающихся/ воспитанников
</t>
  </si>
  <si>
    <t>Наличие обучающихся /
воспитанников – именных стипендиатов *</t>
  </si>
  <si>
    <t xml:space="preserve">Подтвержд. документы: </t>
  </si>
  <si>
    <t>3.1.</t>
  </si>
  <si>
    <t>Совершенствование методов обучения и воспитания</t>
  </si>
  <si>
    <r>
      <t xml:space="preserve">№ 
</t>
    </r>
    <r>
      <rPr>
        <b/>
        <sz val="9"/>
        <rFont val="Times New Roman"/>
        <family val="1"/>
      </rPr>
      <t>пп</t>
    </r>
  </si>
  <si>
    <t>(не более 60 баллов за один метод)</t>
  </si>
  <si>
    <t xml:space="preserve">10 - 20 </t>
  </si>
  <si>
    <t xml:space="preserve">30 - 40 </t>
  </si>
  <si>
    <t>50 - 60</t>
  </si>
  <si>
    <t>Не 
использует</t>
  </si>
  <si>
    <t>Использует недостаточно продуктивно</t>
  </si>
  <si>
    <t>Использует продуктивно</t>
  </si>
  <si>
    <t>Методы контроля и самоконтроля</t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</si>
  <si>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</si>
  <si>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Название образовательной технологии</t>
  </si>
  <si>
    <t>(не более100 баллов за одну технологию)</t>
  </si>
  <si>
    <t xml:space="preserve">10 - 30 </t>
  </si>
  <si>
    <t xml:space="preserve">40 - 60 </t>
  </si>
  <si>
    <t>70 - 100</t>
  </si>
  <si>
    <t>Использует продуктивно и совершен- ствует</t>
  </si>
  <si>
    <t>3.2.</t>
  </si>
  <si>
    <t>Продуктивность использования образовательных технологий</t>
  </si>
  <si>
    <t>3.3.</t>
  </si>
  <si>
    <t>Продуктивность методической деятельности</t>
  </si>
  <si>
    <t>3.3.1.</t>
  </si>
  <si>
    <t>Подтверждающие документы:</t>
  </si>
  <si>
    <t>3.3.2.</t>
  </si>
  <si>
    <t>3.3.3.</t>
  </si>
  <si>
    <t>Проведение открытых занятий,  мероприятий, мастер-классов и др.</t>
  </si>
  <si>
    <t>Сертификаты и др.</t>
  </si>
  <si>
    <t xml:space="preserve"> 10-30</t>
  </si>
  <si>
    <t xml:space="preserve"> 0</t>
  </si>
  <si>
    <t xml:space="preserve">Подтверждающие документы:  </t>
  </si>
  <si>
    <t>4 и более - 80б.</t>
  </si>
  <si>
    <t>Подтвержд. документы:</t>
  </si>
  <si>
    <t>Участие в деятельности  экспертных групп по аттестации *</t>
  </si>
  <si>
    <t xml:space="preserve">Участие в проектно-исследовательской, опытно-экспериментальной и др. научной деятельности * </t>
  </si>
  <si>
    <t>3.3.4.</t>
  </si>
  <si>
    <t>3.3.5.</t>
  </si>
  <si>
    <t>3.3.6.</t>
  </si>
  <si>
    <t>3.3.7.</t>
  </si>
  <si>
    <t>3.3.8.</t>
  </si>
  <si>
    <t>3.3.10.</t>
  </si>
  <si>
    <t>3.3.9.</t>
  </si>
  <si>
    <t>3.4.</t>
  </si>
  <si>
    <t>3.4.1.</t>
  </si>
  <si>
    <t>Почетные звания, профессиональные награды и премии за весь период профессиональной деятельности</t>
  </si>
  <si>
    <t>Прочие награды</t>
  </si>
  <si>
    <t>3.5.</t>
  </si>
  <si>
    <t>3.5.1.</t>
  </si>
  <si>
    <t>3.5.2.</t>
  </si>
  <si>
    <t>(курсы повышения квалификации, стажировка)</t>
  </si>
  <si>
    <t xml:space="preserve">Подтверждающие документы:   </t>
  </si>
  <si>
    <t>документы организаций, имеющих лицензию на реализацию программ доп. проф. образования, справки об обучении</t>
  </si>
  <si>
    <t>3.5.3.</t>
  </si>
  <si>
    <t>Профессиональное научное развитие*</t>
  </si>
  <si>
    <t>диплом, справка об обучении</t>
  </si>
  <si>
    <r>
      <t xml:space="preserve">Наличие степени кан- 
дидата наук, </t>
    </r>
    <r>
      <rPr>
        <sz val="9"/>
        <rFont val="Times New Roman"/>
        <family val="1"/>
      </rPr>
      <t>звания доцента</t>
    </r>
  </si>
  <si>
    <t>Программа
 не соответствует Примерным требованиям
 к программам дополни-
тельного образования детей</t>
  </si>
  <si>
    <t>Программа соответствует Примерным требованиям
 к программам дополни-
тельного образования детей 
не в полном объеме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</si>
  <si>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</si>
  <si>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</si>
  <si>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 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</si>
  <si>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физкультурно- спортивной деятельности,  а  также    их участия  в  олимпиадах,   конкурсах,  фестивалях,   соревнованиях 
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</si>
  <si>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  проводимых  организацией,    а  также   по  итогам  мониторинга  системы  образования 
(в соответствии с п. 36 Порядка аттестации);</t>
  </si>
  <si>
    <t>(далее – Прил. № 2)
Примечание: 
баллы за участие даются только при отсутствии победителей и призеров</t>
  </si>
  <si>
    <t>(далее – Прил. № 2)</t>
  </si>
  <si>
    <t>(далее – Прил. №№ 4,5)</t>
  </si>
  <si>
    <t xml:space="preserve"> (далее – Прил. № 6)</t>
  </si>
  <si>
    <r>
      <t>(далее – Прил. № 6)</t>
    </r>
  </si>
  <si>
    <t>Примечание:         баллы за участие даются только при отсутствии призовых мест
(далее – Прил. № 6)</t>
  </si>
  <si>
    <t>(далее – Прил. № 8)</t>
  </si>
  <si>
    <t xml:space="preserve">Название методов 
обучения и воспитания </t>
  </si>
  <si>
    <t>(заполняется только на педагогического работника, аттестующегося на высшую квалификационную категорию)</t>
  </si>
  <si>
    <r>
      <t xml:space="preserve">Методы организации деятельности  
</t>
    </r>
    <r>
      <rPr>
        <i/>
        <sz val="11"/>
        <rFont val="Times New Roman"/>
        <family val="1"/>
      </rPr>
      <t>(оценка деятельности педагогического работника  через деятельность обучающихся/ воспитанников  на занятии)</t>
    </r>
  </si>
  <si>
    <t>Разрабатывает периодически</t>
  </si>
  <si>
    <t>Разрабатывает систематически</t>
  </si>
  <si>
    <t xml:space="preserve">об уровне квалификации  педагога дополнительного образования </t>
  </si>
  <si>
    <r>
      <t xml:space="preserve">Качество разработанных пед. работником допол-нительных образователь-
ных программ </t>
    </r>
  </si>
  <si>
    <t xml:space="preserve">Личное участие пед. ра- 
ботника в выставках, кон-
цертах, фестивалях и др.*
</t>
  </si>
  <si>
    <t>обр. орг.</t>
  </si>
  <si>
    <t>Уровень 
обр. орг.</t>
  </si>
  <si>
    <t>Опыт представлен на сайте обр. орг.</t>
  </si>
  <si>
    <r>
      <t>Окончание вуза/суза менее 3-х лет назад</t>
    </r>
    <r>
      <rPr>
        <sz val="10"/>
        <rFont val="Times New Roman"/>
        <family val="1"/>
      </rPr>
      <t xml:space="preserve"> (профессиональное/педагогическое обр.)</t>
    </r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</si>
  <si>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</si>
  <si>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</si>
  <si>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Педагог дополнительного образования</t>
    </r>
  </si>
  <si>
    <t xml:space="preserve"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 либо высшее профессиональное образование  или среднее профессиональное образование и дополнительное профессиональное образование по направлению  «Образование и педагогика» без предъявления требований к стажу работы. 
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</si>
  <si>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10"/>
        <rFont val="Arial Cyr"/>
        <family val="0"/>
      </rPr>
      <t>или</t>
    </r>
    <r>
      <rPr>
        <sz val="10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</si>
  <si>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>Продуктивность деятельности педагогического работника по развитию обучающихся/ воспитанников</t>
  </si>
  <si>
    <t>Продуктивность личного вклада педагогического работника в повышение качества образования</t>
  </si>
  <si>
    <t>Квалификационная категория</t>
  </si>
  <si>
    <t>Минимальное количество баллов</t>
  </si>
  <si>
    <t xml:space="preserve">Уровень квалификации </t>
  </si>
  <si>
    <t xml:space="preserve"> требованиям, предъявляемым к заявленной </t>
  </si>
  <si>
    <t xml:space="preserve"> квалификационной категории. </t>
  </si>
  <si>
    <t>Документы, подтверждающие  участие в работе экспериментальных  площадок, лабораторий, центров и др.</t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</si>
  <si>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</rPr>
      <t xml:space="preserve"> (оценка деятельности педагогического работника на занятии)</t>
    </r>
  </si>
  <si>
    <t>Научные, научно-методические и учебно-методические публикации, в т.ч. в электронной версии на сайте профильных издательств *</t>
  </si>
  <si>
    <t>Оригиналы публикаций или ксерокопии титульного листа печатного издания, интернет-публикации с отзывом (рецензией), ксерокопия страницы «содержание» сборника, в котором помещена публикация</t>
  </si>
  <si>
    <r>
      <t xml:space="preserve"> -  Второе профессиональное образование (ВПО) *</t>
    </r>
    <r>
      <rPr>
        <sz val="8"/>
        <rFont val="Times New Roman"/>
        <family val="1"/>
      </rPr>
      <t xml:space="preserve"> 
</t>
    </r>
    <r>
      <rPr>
        <sz val="11"/>
        <rFont val="Times New Roman"/>
        <family val="1"/>
      </rPr>
      <t xml:space="preserve"> -  профессиональная переподготовка
 (ПП) *</t>
    </r>
  </si>
  <si>
    <t>документы о получении  ВПО, ПП (в соот-
ветствии с занимаемой должностью)</t>
  </si>
  <si>
    <t xml:space="preserve">Муниципальное образовательное учреждение </t>
  </si>
  <si>
    <t>(далее – Прил. №№ 6,7)</t>
  </si>
  <si>
    <t>Не осуществ.</t>
  </si>
  <si>
    <t>Осуществляется 
 систематически</t>
  </si>
  <si>
    <r>
      <t xml:space="preserve">Выступления на научно-практических конференциях, педагогических чтениях,  семинарах, секциях, МО/ГМО/РМО </t>
    </r>
    <r>
      <rPr>
        <sz val="10"/>
        <rFont val="Times New Roman"/>
        <family val="1"/>
      </rPr>
      <t xml:space="preserve"> 
</t>
    </r>
    <r>
      <rPr>
        <i/>
        <sz val="10"/>
        <rFont val="Times New Roman"/>
        <family val="1"/>
      </rPr>
      <t>(за исключением вопросов организационного характера)</t>
    </r>
    <r>
      <rPr>
        <sz val="11"/>
        <rFont val="Times New Roman"/>
        <family val="1"/>
      </rPr>
      <t xml:space="preserve">  и др.       </t>
    </r>
  </si>
  <si>
    <t>Публичное представле-
ние собственного педагогического опыта на сайте *</t>
  </si>
  <si>
    <t xml:space="preserve">
Программа 
ВПО/ ПП
 освоена полностью
</t>
  </si>
  <si>
    <t xml:space="preserve">Участие в деятельности экспертных комиссий, апелляционных комиссий, профессиональных ассоциаций,  жюри профессиональных конкурсов, жюри конкурсов обучающихся/воспитанников, постоянно действующих семинарах и др. </t>
  </si>
  <si>
    <t>5.</t>
  </si>
  <si>
    <t>Перейти на лист "общие сведения"</t>
  </si>
  <si>
    <t>в конец ЭЗ</t>
  </si>
  <si>
    <t>об уровне квалификации   педагогического работника  
государственных, муниципальных и частных образовательных организаций Московской области</t>
  </si>
  <si>
    <t>РЕЗУЛЬТАТЫ  ПРОФЕССИОНАЛЬНОЙ  ДЕЯТЕЛЬНОСТИ</t>
  </si>
  <si>
    <t xml:space="preserve">( педагога дополнительного образования </t>
  </si>
  <si>
    <t>Сертификаты,  программы конференций, семинаров и др.</t>
  </si>
  <si>
    <t>Сертификаты, дипломы и др.</t>
  </si>
  <si>
    <t>грамоты, дипломы</t>
  </si>
  <si>
    <t>Выписки из приказов, оформленные экспертные заключения</t>
  </si>
  <si>
    <t>грамоты, дипломы, благо-
дарности и др.</t>
  </si>
  <si>
    <t>Освоение индивидуальной программы повышения квалификации в полном объеме</t>
  </si>
  <si>
    <t xml:space="preserve"> Освоено 
менее 50% программы  ВПО/ ПП</t>
  </si>
  <si>
    <t>Освоено 
более 50% программы  ВПО/ ПП</t>
  </si>
  <si>
    <r>
      <t>Повышение квалификации</t>
    </r>
  </si>
  <si>
    <t>Наличие степени доктора наук,  звания профессора</t>
  </si>
  <si>
    <t>3. итого =</t>
  </si>
  <si>
    <t>Общие сведения об аттестуемом педагогическом работнике</t>
  </si>
  <si>
    <t>Специализация</t>
  </si>
  <si>
    <t>Егорьевск</t>
  </si>
  <si>
    <t>Кашира</t>
  </si>
  <si>
    <t>Мытищи</t>
  </si>
  <si>
    <t>Озёры</t>
  </si>
  <si>
    <t>Серебряные Пруды</t>
  </si>
  <si>
    <t xml:space="preserve"> </t>
  </si>
  <si>
    <t>Шаховская</t>
  </si>
  <si>
    <t xml:space="preserve">ФОРМУЛЫ  </t>
  </si>
  <si>
    <t>1. итого =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</si>
  <si>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</si>
  <si>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</si>
  <si>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</si>
  <si>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</si>
  <si>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</si>
  <si>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</si>
  <si>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</si>
  <si>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</si>
  <si>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</si>
  <si>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Дополнительное профессиональное образование (по направлению "Образование и педагогика" либо в области, соотв. профилю работы):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</si>
  <si>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</si>
  <si>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</si>
  <si>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</si>
  <si>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</si>
  <si>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</si>
  <si>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</si>
  <si>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</si>
  <si>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</si>
  <si>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</si>
  <si>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</si>
  <si>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</si>
  <si>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</si>
  <si>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</si>
  <si>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</si>
  <si>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</si>
  <si>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</si>
  <si>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дата  присвоения</t>
  </si>
  <si>
    <t xml:space="preserve">1. </t>
  </si>
  <si>
    <t xml:space="preserve">2. </t>
  </si>
  <si>
    <t xml:space="preserve">3. </t>
  </si>
  <si>
    <t xml:space="preserve">Всего набрано аттестуемым педагогическим работником  </t>
  </si>
  <si>
    <t xml:space="preserve">предъявляемым к заявленной </t>
  </si>
  <si>
    <t xml:space="preserve"> требованиям,</t>
  </si>
  <si>
    <t>Специалисты 
экспертной группы</t>
  </si>
  <si>
    <t>Программа соответствует Примерным требованиям
 к программам дополни-
тельного образования детей в полном объеме</t>
  </si>
  <si>
    <t>Специалисты экспертной группы: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</si>
  <si>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</si>
  <si>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t>1 комиссия/ жюри - 10б.</t>
  </si>
  <si>
    <t>1 комиссия/ жюри - 30б.</t>
  </si>
  <si>
    <t>1комиссия/ жюри - 50б.</t>
  </si>
  <si>
    <t>1 комиссия/ жюри - 80б.</t>
  </si>
  <si>
    <t>2 комиссии/ жюри - 20б.</t>
  </si>
  <si>
    <t>2 комиссии/ жюри - 40б.</t>
  </si>
  <si>
    <t>2 комиссии/ жюри - 60б.</t>
  </si>
  <si>
    <t>2 комиссии/ жюри - 90б.</t>
  </si>
  <si>
    <t>3 комиссии/ жюри - 70б.</t>
  </si>
  <si>
    <t>социально-педагогическая направленность</t>
  </si>
  <si>
    <t>социально-педагогической направленности)</t>
  </si>
  <si>
    <t xml:space="preserve">Результаты участия обу-  
чающихся/воспитанников, в том числе оказавшихся в трудных жизненных ситуация в конкурсах, выставках, фестивалях, олимпиадах и др.
</t>
  </si>
  <si>
    <t xml:space="preserve">
2 и более - 200б</t>
  </si>
  <si>
    <t>Результаты участия обу- чающихся/воспитанников, в том числе оказавшихся в трудных жизненных ситуациях,  в научно-прак-
тических конференциях, семинарах и др.  *</t>
  </si>
  <si>
    <t>Грамоты, дипломы 
или др. до- кументы, подтверж- дающие участие</t>
  </si>
  <si>
    <t>Организация деятельнос-
ти  обучающихся/ воспи-
танников, в том числе оказавшихся в трудных жизненных ситуация  в социально ориентирован-
ных проектах, акциях со-
циально-педагогической направленности</t>
  </si>
  <si>
    <t>Осуществляется 
периодически</t>
  </si>
  <si>
    <t>Осуществляется 
 систематически
 (по плану)</t>
  </si>
  <si>
    <t xml:space="preserve"> (далее – Прил. № 2)</t>
  </si>
  <si>
    <t>2.9.</t>
  </si>
  <si>
    <t>2.10.</t>
  </si>
  <si>
    <t>2.11.</t>
  </si>
  <si>
    <t>Осуществляется 
 системно, комплексно</t>
  </si>
  <si>
    <t>музыкальная направленность</t>
  </si>
  <si>
    <t>музыкальной направленности )</t>
  </si>
  <si>
    <t>туристско-краеведческой  направленности )</t>
  </si>
  <si>
    <t>туристско-краеведческая направленность</t>
  </si>
  <si>
    <t>спортивной  направленности )</t>
  </si>
  <si>
    <t>спортивная направленность</t>
  </si>
  <si>
    <t>п</t>
  </si>
  <si>
    <t>в</t>
  </si>
  <si>
    <t>Программы мероприятий, планы работы, протоколы, отчеты, дипломы 
и др.</t>
  </si>
  <si>
    <t>Оригинал/копия свиде-тельства Мин.образова-
ния, Мин. культуры (феде-
рального и регионального уровней) о присвоении  почетного звания</t>
  </si>
  <si>
    <t xml:space="preserve">Оригинал/копия свиде-тельства/сертификата именного стипендиата </t>
  </si>
  <si>
    <t xml:space="preserve"> военно-патриотическая направленность</t>
  </si>
  <si>
    <t xml:space="preserve"> естественнонаучная направленность</t>
  </si>
  <si>
    <t xml:space="preserve"> культурологическая направленность</t>
  </si>
  <si>
    <t xml:space="preserve"> научно-техническая направленность</t>
  </si>
  <si>
    <t xml:space="preserve"> спортивно-техническая направленность</t>
  </si>
  <si>
    <t xml:space="preserve"> хореографическая направленность</t>
  </si>
  <si>
    <t xml:space="preserve"> художественно-эстетическая направленность</t>
  </si>
  <si>
    <t xml:space="preserve">В течение одного года пройти обучение по программе повышения квалификации. </t>
  </si>
  <si>
    <t>72 - 107 ч.</t>
  </si>
  <si>
    <t>108 - 216 ч.</t>
  </si>
  <si>
    <t>Специалист</t>
  </si>
  <si>
    <t>утв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</si>
  <si>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</si>
  <si>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</si>
  <si>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</si>
  <si>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</si>
  <si>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</si>
  <si>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</si>
  <si>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</si>
  <si>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« __ » ___________  20__ г.</t>
  </si>
  <si>
    <t>ЭКСПЕРТНОЕ ЗАКЛЮЧЕНИЕ</t>
  </si>
  <si>
    <t xml:space="preserve">Осуществляется 
частично </t>
  </si>
  <si>
    <t>Ликино-Дулево</t>
  </si>
  <si>
    <t>Волоколамский</t>
  </si>
  <si>
    <t>Чехов</t>
  </si>
  <si>
    <t>Ступино</t>
  </si>
  <si>
    <t>Здоровьесберегающая организация занятия/ мероприятия с учетом требований СанПиНов</t>
  </si>
  <si>
    <t>Реализуемые программы</t>
  </si>
  <si>
    <t>Обеспечение выполнения дополнительной образовательной программы</t>
  </si>
  <si>
    <t>Разработка учебно-методических, дидактических материалов</t>
  </si>
  <si>
    <t>Мониторинг эффективности образовательного процесса</t>
  </si>
  <si>
    <t>Проведение профессионально-ориентационной работы с обучающимися/ воспитанниками</t>
  </si>
  <si>
    <t>Осуществление профилактической работы по предотвращению отклонений от норм социального развития, организация социально  значимой деятельности с  обучающимися/ воспитанниками</t>
  </si>
  <si>
    <t>Оказание консультативной помощи обучающимся/воспитанникам и роди-
телям (законным представителям), особенно из неблагополучных семей</t>
  </si>
  <si>
    <t xml:space="preserve">Подтверждающие  документы: </t>
  </si>
  <si>
    <t>Журнал консультаций</t>
  </si>
  <si>
    <t xml:space="preserve">  ЭЗ - 2018 г.</t>
  </si>
  <si>
    <t>изменено 13.авг.2018г.</t>
  </si>
  <si>
    <t>Орехово-Зуевский</t>
  </si>
  <si>
    <t>Королёв</t>
  </si>
  <si>
    <t>Молодёжный</t>
  </si>
  <si>
    <t>Щёлковский</t>
  </si>
  <si>
    <t>Копии приказов, удостоверение и др.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</si>
</sst>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dd/mm/yyyy\ yy/"/>
    <numFmt numFmtId="187" formatCode="dd/mm/yyyy\ &quot;г.&quot;"/>
    <numFmt numFmtId="188" formatCode="dd/mm/yy;@"/>
    <numFmt numFmtId="189" formatCode="###0&quot; баллов&quot;;\-&quot; баллов&quot;"/>
  </numFmts>
  <fonts count="1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sz val="9"/>
      <name val="Arial Cyr"/>
      <family val="0"/>
    </font>
    <font>
      <sz val="8"/>
      <name val="Times New Roman"/>
      <family val="1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10"/>
      <color indexed="18"/>
      <name val="Arial Cyr"/>
      <family val="0"/>
    </font>
    <font>
      <sz val="9"/>
      <name val="Tahoma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b/>
      <sz val="9"/>
      <name val="Arial"/>
      <family val="2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sz val="9"/>
      <name val="Times New Roman"/>
      <family val="1"/>
    </font>
    <font>
      <sz val="11"/>
      <color indexed="62"/>
      <name val="Arial Cyr"/>
      <family val="0"/>
    </font>
    <font>
      <i/>
      <sz val="8"/>
      <color indexed="12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sz val="10.5"/>
      <color indexed="12"/>
      <name val="Times New Roman"/>
      <family val="1"/>
    </font>
    <font>
      <sz val="9"/>
      <color indexed="18"/>
      <name val="Times New Roman"/>
      <family val="1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i/>
      <sz val="11"/>
      <name val="Arial Cyr"/>
      <family val="0"/>
    </font>
    <font>
      <i/>
      <sz val="10"/>
      <color indexed="12"/>
      <name val="Arial Cyr"/>
      <family val="0"/>
    </font>
    <font>
      <b/>
      <sz val="9"/>
      <color indexed="18"/>
      <name val="Arial Cyr"/>
      <family val="0"/>
    </font>
    <font>
      <b/>
      <sz val="11"/>
      <color indexed="18"/>
      <name val="Arial Cyr"/>
      <family val="0"/>
    </font>
    <font>
      <b/>
      <i/>
      <sz val="9"/>
      <name val="Tahoma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8"/>
      <name val="Adobe Arabic"/>
      <family val="1"/>
    </font>
    <font>
      <sz val="10"/>
      <name val="Adobe Arabic"/>
      <family val="1"/>
    </font>
    <font>
      <sz val="8"/>
      <color indexed="10"/>
      <name val="Arial Cyr"/>
      <family val="0"/>
    </font>
    <font>
      <sz val="8"/>
      <color indexed="20"/>
      <name val="Arial Cyr"/>
      <family val="0"/>
    </font>
    <font>
      <sz val="8"/>
      <name val="Arial"/>
      <family val="2"/>
    </font>
    <font>
      <i/>
      <sz val="10"/>
      <color indexed="56"/>
      <name val="Times New Roman"/>
      <family val="1"/>
    </font>
    <font>
      <b/>
      <sz val="8"/>
      <name val="Arial"/>
      <family val="2"/>
    </font>
    <font>
      <sz val="9"/>
      <color indexed="36"/>
      <name val="Arial"/>
      <family val="2"/>
    </font>
    <font>
      <i/>
      <sz val="9"/>
      <name val="Tahoma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u val="single"/>
      <sz val="10"/>
      <name val="Times New Roman"/>
      <family val="1"/>
    </font>
    <font>
      <i/>
      <u val="single"/>
      <sz val="11"/>
      <name val="Arial Cyr"/>
      <family val="0"/>
    </font>
    <font>
      <sz val="10"/>
      <color indexed="9"/>
      <name val="Times New Roman"/>
      <family val="1"/>
    </font>
    <font>
      <i/>
      <u val="single"/>
      <sz val="9"/>
      <name val="Tahoma"/>
      <family val="2"/>
    </font>
    <font>
      <sz val="10"/>
      <color indexed="9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40" fillId="25" borderId="1" applyNumberFormat="0" applyAlignment="0" applyProtection="0"/>
    <xf numFmtId="0" fontId="141" fillId="26" borderId="2" applyNumberFormat="0" applyAlignment="0" applyProtection="0"/>
    <xf numFmtId="0" fontId="142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6" applyNumberFormat="0" applyFill="0" applyAlignment="0" applyProtection="0"/>
    <xf numFmtId="0" fontId="147" fillId="27" borderId="7" applyNumberFormat="0" applyAlignment="0" applyProtection="0"/>
    <xf numFmtId="0" fontId="148" fillId="0" borderId="0" applyNumberFormat="0" applyFill="0" applyBorder="0" applyAlignment="0" applyProtection="0"/>
    <xf numFmtId="0" fontId="149" fillId="28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0" fillId="29" borderId="0" applyNumberFormat="0" applyBorder="0" applyAlignment="0" applyProtection="0"/>
    <xf numFmtId="0" fontId="1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4" fillId="31" borderId="0" applyNumberFormat="0" applyBorder="0" applyAlignment="0" applyProtection="0"/>
  </cellStyleXfs>
  <cellXfs count="1072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23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49" fontId="9" fillId="0" borderId="1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4" fillId="0" borderId="0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30" fillId="0" borderId="0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2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37" fillId="0" borderId="0" xfId="0" applyFont="1" applyBorder="1" applyAlignment="1" applyProtection="1">
      <alignment horizontal="left" vertical="top"/>
      <protection hidden="1"/>
    </xf>
    <xf numFmtId="0" fontId="37" fillId="0" borderId="18" xfId="0" applyFont="1" applyBorder="1" applyAlignment="1" applyProtection="1">
      <alignment horizontal="left" vertical="top"/>
      <protection hidden="1"/>
    </xf>
    <xf numFmtId="0" fontId="15" fillId="0" borderId="19" xfId="0" applyFont="1" applyBorder="1" applyAlignment="1" applyProtection="1">
      <alignment vertical="top" wrapText="1"/>
      <protection hidden="1"/>
    </xf>
    <xf numFmtId="0" fontId="37" fillId="0" borderId="18" xfId="0" applyFont="1" applyBorder="1" applyAlignment="1" applyProtection="1">
      <alignment/>
      <protection hidden="1"/>
    </xf>
    <xf numFmtId="0" fontId="15" fillId="0" borderId="12" xfId="0" applyFont="1" applyBorder="1" applyAlignment="1" applyProtection="1">
      <alignment horizontal="left" vertical="top" wrapText="1"/>
      <protection hidden="1"/>
    </xf>
    <xf numFmtId="0" fontId="15" fillId="0" borderId="19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left" indent="1"/>
      <protection hidden="1"/>
    </xf>
    <xf numFmtId="0" fontId="30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horizontal="right" indent="2"/>
      <protection hidden="1"/>
    </xf>
    <xf numFmtId="0" fontId="18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3" fillId="0" borderId="0" xfId="0" applyFont="1" applyBorder="1" applyAlignment="1" applyProtection="1">
      <alignment vertical="top" wrapText="1"/>
      <protection hidden="1"/>
    </xf>
    <xf numFmtId="0" fontId="31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1" fillId="0" borderId="0" xfId="0" applyNumberFormat="1" applyFont="1" applyBorder="1" applyAlignment="1" applyProtection="1">
      <alignment horizontal="center"/>
      <protection hidden="1"/>
    </xf>
    <xf numFmtId="1" fontId="25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25" fillId="0" borderId="0" xfId="0" applyFont="1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0" fontId="37" fillId="0" borderId="17" xfId="0" applyFont="1" applyBorder="1" applyAlignment="1" applyProtection="1">
      <alignment horizontal="left" vertical="top"/>
      <protection hidden="1"/>
    </xf>
    <xf numFmtId="0" fontId="12" fillId="0" borderId="18" xfId="0" applyFont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5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vertical="top"/>
      <protection hidden="1"/>
    </xf>
    <xf numFmtId="0" fontId="23" fillId="0" borderId="0" xfId="0" applyFont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Fill="1" applyBorder="1" applyAlignment="1" applyProtection="1">
      <alignment vertical="top"/>
      <protection/>
    </xf>
    <xf numFmtId="0" fontId="49" fillId="0" borderId="0" xfId="0" applyFont="1" applyAlignment="1" applyProtection="1">
      <alignment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7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left"/>
      <protection hidden="1"/>
    </xf>
    <xf numFmtId="0" fontId="26" fillId="32" borderId="17" xfId="0" applyFont="1" applyFill="1" applyBorder="1" applyAlignment="1" applyProtection="1">
      <alignment horizontal="left" vertical="top" indent="1"/>
      <protection locked="0"/>
    </xf>
    <xf numFmtId="0" fontId="26" fillId="4" borderId="17" xfId="0" applyFont="1" applyFill="1" applyBorder="1" applyAlignment="1" applyProtection="1">
      <alignment horizontal="left" vertical="top" indent="1"/>
      <protection locked="0"/>
    </xf>
    <xf numFmtId="0" fontId="23" fillId="4" borderId="17" xfId="0" applyFont="1" applyFill="1" applyBorder="1" applyAlignment="1" applyProtection="1">
      <alignment horizontal="center" vertical="top"/>
      <protection locked="0"/>
    </xf>
    <xf numFmtId="1" fontId="22" fillId="32" borderId="17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0" fontId="48" fillId="0" borderId="0" xfId="0" applyFont="1" applyFill="1" applyBorder="1" applyAlignment="1" applyProtection="1">
      <alignment vertical="top"/>
      <protection hidden="1"/>
    </xf>
    <xf numFmtId="0" fontId="26" fillId="0" borderId="0" xfId="0" applyFont="1" applyFill="1" applyBorder="1" applyAlignment="1" applyProtection="1">
      <alignment horizontal="left" vertical="top" wrapText="1" indent="1"/>
      <protection hidden="1"/>
    </xf>
    <xf numFmtId="0" fontId="23" fillId="0" borderId="0" xfId="0" applyFont="1" applyFill="1" applyBorder="1" applyAlignment="1" applyProtection="1">
      <alignment horizontal="center" vertical="top"/>
      <protection hidden="1"/>
    </xf>
    <xf numFmtId="0" fontId="52" fillId="0" borderId="0" xfId="0" applyFont="1" applyFill="1" applyBorder="1" applyAlignment="1" applyProtection="1">
      <alignment/>
      <protection hidden="1"/>
    </xf>
    <xf numFmtId="0" fontId="52" fillId="0" borderId="0" xfId="0" applyFont="1" applyFill="1" applyBorder="1" applyAlignment="1" applyProtection="1">
      <alignment horizontal="right" vertical="center"/>
      <protection hidden="1"/>
    </xf>
    <xf numFmtId="0" fontId="47" fillId="0" borderId="0" xfId="0" applyFont="1" applyFill="1" applyAlignment="1" applyProtection="1">
      <alignment/>
      <protection hidden="1"/>
    </xf>
    <xf numFmtId="0" fontId="46" fillId="0" borderId="0" xfId="0" applyFont="1" applyFill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0" fontId="53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56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59" fillId="0" borderId="0" xfId="0" applyFont="1" applyAlignment="1" applyProtection="1">
      <alignment vertical="top" wrapText="1"/>
      <protection hidden="1"/>
    </xf>
    <xf numFmtId="0" fontId="26" fillId="33" borderId="17" xfId="0" applyFont="1" applyFill="1" applyBorder="1" applyAlignment="1" applyProtection="1">
      <alignment vertical="top"/>
      <protection hidden="1"/>
    </xf>
    <xf numFmtId="0" fontId="0" fillId="33" borderId="17" xfId="0" applyFill="1" applyBorder="1" applyAlignment="1" applyProtection="1">
      <alignment/>
      <protection hidden="1"/>
    </xf>
    <xf numFmtId="0" fontId="17" fillId="33" borderId="20" xfId="42" applyFill="1" applyBorder="1" applyAlignment="1" applyProtection="1">
      <alignment horizontal="left" vertical="top"/>
      <protection hidden="1"/>
    </xf>
    <xf numFmtId="0" fontId="26" fillId="33" borderId="20" xfId="0" applyFont="1" applyFill="1" applyBorder="1" applyAlignment="1" applyProtection="1">
      <alignment vertical="top" wrapText="1"/>
      <protection hidden="1"/>
    </xf>
    <xf numFmtId="0" fontId="26" fillId="33" borderId="20" xfId="0" applyFont="1" applyFill="1" applyBorder="1" applyAlignment="1" applyProtection="1">
      <alignment vertical="top"/>
      <protection hidden="1"/>
    </xf>
    <xf numFmtId="0" fontId="0" fillId="33" borderId="20" xfId="0" applyFill="1" applyBorder="1" applyAlignment="1" applyProtection="1">
      <alignment/>
      <protection hidden="1"/>
    </xf>
    <xf numFmtId="0" fontId="26" fillId="33" borderId="20" xfId="0" applyFont="1" applyFill="1" applyBorder="1" applyAlignment="1" applyProtection="1">
      <alignment horizontal="right" vertical="top" indent="1"/>
      <protection hidden="1"/>
    </xf>
    <xf numFmtId="0" fontId="0" fillId="33" borderId="20" xfId="0" applyFont="1" applyFill="1" applyBorder="1" applyAlignment="1" applyProtection="1">
      <alignment horizontal="left" vertical="top"/>
      <protection hidden="1"/>
    </xf>
    <xf numFmtId="0" fontId="6" fillId="33" borderId="20" xfId="0" applyFont="1" applyFill="1" applyBorder="1" applyAlignment="1" applyProtection="1">
      <alignment vertical="top"/>
      <protection hidden="1"/>
    </xf>
    <xf numFmtId="14" fontId="23" fillId="33" borderId="20" xfId="0" applyNumberFormat="1" applyFont="1" applyFill="1" applyBorder="1" applyAlignment="1" applyProtection="1">
      <alignment horizontal="left" vertical="top"/>
      <protection hidden="1"/>
    </xf>
    <xf numFmtId="0" fontId="23" fillId="33" borderId="20" xfId="0" applyFont="1" applyFill="1" applyBorder="1" applyAlignment="1" applyProtection="1">
      <alignment vertical="top"/>
      <protection hidden="1"/>
    </xf>
    <xf numFmtId="0" fontId="6" fillId="33" borderId="20" xfId="0" applyFont="1" applyFill="1" applyBorder="1" applyAlignment="1" applyProtection="1">
      <alignment horizontal="left" vertical="top"/>
      <protection hidden="1"/>
    </xf>
    <xf numFmtId="0" fontId="0" fillId="33" borderId="20" xfId="0" applyFont="1" applyFill="1" applyBorder="1" applyAlignment="1" applyProtection="1">
      <alignment horizontal="left" vertical="top" wrapText="1"/>
      <protection hidden="1"/>
    </xf>
    <xf numFmtId="0" fontId="6" fillId="33" borderId="0" xfId="0" applyFont="1" applyFill="1" applyAlignment="1" applyProtection="1">
      <alignment horizontal="left" vertical="top"/>
      <protection hidden="1"/>
    </xf>
    <xf numFmtId="0" fontId="0" fillId="33" borderId="0" xfId="0" applyFont="1" applyFill="1" applyAlignment="1" applyProtection="1">
      <alignment horizontal="left" vertical="top" wrapText="1"/>
      <protection hidden="1"/>
    </xf>
    <xf numFmtId="0" fontId="0" fillId="33" borderId="0" xfId="0" applyFont="1" applyFill="1" applyAlignment="1" applyProtection="1">
      <alignment horizontal="left" vertical="top"/>
      <protection hidden="1"/>
    </xf>
    <xf numFmtId="0" fontId="37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33" borderId="22" xfId="0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0" fillId="33" borderId="21" xfId="0" applyFill="1" applyBorder="1" applyAlignment="1" applyProtection="1">
      <alignment vertical="center"/>
      <protection hidden="1"/>
    </xf>
    <xf numFmtId="0" fontId="0" fillId="33" borderId="23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4" borderId="22" xfId="0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NumberFormat="1" applyFont="1" applyBorder="1" applyAlignment="1" applyProtection="1">
      <alignment horizontal="right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/>
      <protection hidden="1"/>
    </xf>
    <xf numFmtId="0" fontId="24" fillId="0" borderId="0" xfId="0" applyFont="1" applyAlignment="1" applyProtection="1">
      <alignment horizontal="left" indent="1"/>
      <protection hidden="1"/>
    </xf>
    <xf numFmtId="0" fontId="64" fillId="0" borderId="0" xfId="0" applyFont="1" applyFill="1" applyBorder="1" applyAlignment="1" applyProtection="1">
      <alignment horizontal="left" vertical="top" inden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55" fillId="0" borderId="0" xfId="42" applyFont="1" applyFill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6" fillId="0" borderId="19" xfId="0" applyFont="1" applyBorder="1" applyAlignment="1" applyProtection="1">
      <alignment horizontal="left" vertical="top" indent="5"/>
      <protection hidden="1"/>
    </xf>
    <xf numFmtId="0" fontId="23" fillId="0" borderId="13" xfId="0" applyFont="1" applyFill="1" applyBorder="1" applyAlignment="1" applyProtection="1">
      <alignment horizontal="center" vertical="top"/>
      <protection hidden="1"/>
    </xf>
    <xf numFmtId="0" fontId="23" fillId="0" borderId="19" xfId="0" applyFont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 horizontal="left" vertical="top" indent="1"/>
      <protection hidden="1"/>
    </xf>
    <xf numFmtId="0" fontId="6" fillId="0" borderId="19" xfId="0" applyFont="1" applyBorder="1" applyAlignment="1" applyProtection="1">
      <alignment horizontal="left" indent="1"/>
      <protection hidden="1"/>
    </xf>
    <xf numFmtId="0" fontId="6" fillId="0" borderId="19" xfId="0" applyFont="1" applyFill="1" applyBorder="1" applyAlignment="1" applyProtection="1">
      <alignment horizontal="left" vertical="top"/>
      <protection hidden="1"/>
    </xf>
    <xf numFmtId="0" fontId="23" fillId="34" borderId="13" xfId="0" applyFont="1" applyFill="1" applyBorder="1" applyAlignment="1" applyProtection="1">
      <alignment horizontal="center" vertical="top"/>
      <protection hidden="1"/>
    </xf>
    <xf numFmtId="0" fontId="70" fillId="0" borderId="19" xfId="0" applyFont="1" applyBorder="1" applyAlignment="1" applyProtection="1">
      <alignment/>
      <protection hidden="1"/>
    </xf>
    <xf numFmtId="0" fontId="70" fillId="0" borderId="0" xfId="0" applyFont="1" applyBorder="1" applyAlignment="1" applyProtection="1">
      <alignment/>
      <protection hidden="1"/>
    </xf>
    <xf numFmtId="0" fontId="71" fillId="0" borderId="0" xfId="0" applyFont="1" applyFill="1" applyBorder="1" applyAlignment="1" applyProtection="1">
      <alignment horizontal="left" vertical="top" indent="1"/>
      <protection hidden="1"/>
    </xf>
    <xf numFmtId="0" fontId="69" fillId="0" borderId="0" xfId="0" applyFont="1" applyFill="1" applyBorder="1" applyAlignment="1" applyProtection="1">
      <alignment vertical="top"/>
      <protection hidden="1"/>
    </xf>
    <xf numFmtId="0" fontId="69" fillId="0" borderId="13" xfId="0" applyFont="1" applyFill="1" applyBorder="1" applyAlignment="1" applyProtection="1">
      <alignment vertical="top"/>
      <protection hidden="1"/>
    </xf>
    <xf numFmtId="0" fontId="6" fillId="0" borderId="19" xfId="0" applyFont="1" applyFill="1" applyBorder="1" applyAlignment="1" applyProtection="1">
      <alignment horizontal="left" vertical="top" indent="1"/>
      <protection hidden="1"/>
    </xf>
    <xf numFmtId="0" fontId="23" fillId="32" borderId="17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6" fillId="32" borderId="23" xfId="0" applyNumberFormat="1" applyFont="1" applyFill="1" applyBorder="1" applyAlignment="1" applyProtection="1">
      <alignment horizontal="center" vertical="top"/>
      <protection locked="0"/>
    </xf>
    <xf numFmtId="0" fontId="46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3" fillId="0" borderId="13" xfId="0" applyFont="1" applyFill="1" applyBorder="1" applyAlignment="1" applyProtection="1">
      <alignment vertical="top"/>
      <protection hidden="1"/>
    </xf>
    <xf numFmtId="0" fontId="47" fillId="0" borderId="19" xfId="0" applyFont="1" applyBorder="1" applyAlignment="1" applyProtection="1">
      <alignment horizontal="right"/>
      <protection hidden="1"/>
    </xf>
    <xf numFmtId="0" fontId="72" fillId="0" borderId="0" xfId="0" applyFont="1" applyBorder="1" applyAlignment="1" applyProtection="1">
      <alignment/>
      <protection hidden="1"/>
    </xf>
    <xf numFmtId="0" fontId="48" fillId="0" borderId="17" xfId="0" applyFont="1" applyBorder="1" applyAlignment="1" applyProtection="1">
      <alignment horizontal="left"/>
      <protection hidden="1"/>
    </xf>
    <xf numFmtId="0" fontId="47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47" fillId="0" borderId="0" xfId="0" applyFont="1" applyFill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30" fillId="34" borderId="13" xfId="0" applyFont="1" applyFill="1" applyBorder="1" applyAlignment="1" applyProtection="1">
      <alignment horizontal="center" vertical="top" wrapText="1"/>
      <protection hidden="1"/>
    </xf>
    <xf numFmtId="0" fontId="47" fillId="0" borderId="0" xfId="0" applyFont="1" applyBorder="1" applyAlignment="1" applyProtection="1">
      <alignment horizontal="left" vertical="top"/>
      <protection hidden="1"/>
    </xf>
    <xf numFmtId="0" fontId="28" fillId="0" borderId="23" xfId="0" applyFont="1" applyBorder="1" applyAlignment="1" applyProtection="1">
      <alignment horizontal="left"/>
      <protection hidden="1"/>
    </xf>
    <xf numFmtId="0" fontId="0" fillId="0" borderId="19" xfId="0" applyBorder="1" applyAlignment="1" applyProtection="1">
      <alignment/>
      <protection hidden="1"/>
    </xf>
    <xf numFmtId="0" fontId="23" fillId="0" borderId="19" xfId="0" applyFont="1" applyFill="1" applyBorder="1" applyAlignment="1" applyProtection="1">
      <alignment horizontal="center" vertical="top"/>
      <protection hidden="1"/>
    </xf>
    <xf numFmtId="0" fontId="26" fillId="0" borderId="19" xfId="0" applyFont="1" applyFill="1" applyBorder="1" applyAlignment="1" applyProtection="1">
      <alignment horizontal="right"/>
      <protection hidden="1"/>
    </xf>
    <xf numFmtId="1" fontId="19" fillId="0" borderId="13" xfId="0" applyNumberFormat="1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2" borderId="19" xfId="0" applyFill="1" applyBorder="1" applyAlignment="1" applyProtection="1">
      <alignment wrapText="1"/>
      <protection hidden="1"/>
    </xf>
    <xf numFmtId="0" fontId="31" fillId="0" borderId="13" xfId="0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 wrapText="1"/>
      <protection hidden="1"/>
    </xf>
    <xf numFmtId="0" fontId="0" fillId="32" borderId="19" xfId="0" applyFill="1" applyBorder="1" applyAlignment="1" applyProtection="1">
      <alignment vertical="center"/>
      <protection hidden="1"/>
    </xf>
    <xf numFmtId="0" fontId="0" fillId="32" borderId="19" xfId="0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3" xfId="0" applyBorder="1" applyAlignment="1" applyProtection="1">
      <alignment vertical="distributed"/>
      <protection hidden="1"/>
    </xf>
    <xf numFmtId="0" fontId="46" fillId="0" borderId="0" xfId="0" applyFont="1" applyAlignment="1" applyProtection="1">
      <alignment vertical="distributed"/>
      <protection hidden="1"/>
    </xf>
    <xf numFmtId="0" fontId="49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0" fillId="0" borderId="13" xfId="0" applyFont="1" applyBorder="1" applyAlignment="1" applyProtection="1">
      <alignment horizontal="left" vertical="top" wrapText="1" indent="1"/>
      <protection hidden="1"/>
    </xf>
    <xf numFmtId="0" fontId="49" fillId="3" borderId="0" xfId="0" applyFont="1" applyFill="1" applyBorder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50" fillId="0" borderId="19" xfId="0" applyFont="1" applyBorder="1" applyAlignment="1" applyProtection="1">
      <alignment horizontal="left" vertical="top" wrapText="1" indent="1"/>
      <protection hidden="1"/>
    </xf>
    <xf numFmtId="0" fontId="50" fillId="0" borderId="0" xfId="0" applyFont="1" applyBorder="1" applyAlignment="1" applyProtection="1">
      <alignment horizontal="left" vertical="top" wrapText="1" indent="1"/>
      <protection hidden="1"/>
    </xf>
    <xf numFmtId="0" fontId="36" fillId="0" borderId="0" xfId="0" applyFont="1" applyBorder="1" applyAlignment="1" applyProtection="1">
      <alignment horizontal="right"/>
      <protection hidden="1"/>
    </xf>
    <xf numFmtId="0" fontId="47" fillId="3" borderId="24" xfId="0" applyFont="1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0" fontId="26" fillId="0" borderId="13" xfId="0" applyFont="1" applyFill="1" applyBorder="1" applyAlignment="1" applyProtection="1">
      <alignment horizontal="left" vertical="top" wrapText="1" indent="1"/>
      <protection hidden="1"/>
    </xf>
    <xf numFmtId="0" fontId="26" fillId="0" borderId="13" xfId="0" applyFont="1" applyFill="1" applyBorder="1" applyAlignment="1" applyProtection="1">
      <alignment vertical="top"/>
      <protection hidden="1"/>
    </xf>
    <xf numFmtId="0" fontId="51" fillId="0" borderId="13" xfId="0" applyFont="1" applyFill="1" applyBorder="1" applyAlignment="1" applyProtection="1">
      <alignment horizontal="left" vertical="top" wrapText="1"/>
      <protection hidden="1"/>
    </xf>
    <xf numFmtId="0" fontId="63" fillId="0" borderId="19" xfId="0" applyFont="1" applyFill="1" applyBorder="1" applyAlignment="1" applyProtection="1">
      <alignment horizontal="left" vertical="top" indent="1"/>
      <protection hidden="1"/>
    </xf>
    <xf numFmtId="3" fontId="65" fillId="0" borderId="13" xfId="0" applyNumberFormat="1" applyFont="1" applyFill="1" applyBorder="1" applyAlignment="1" applyProtection="1">
      <alignment horizontal="left" vertical="top" indent="1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49" fontId="9" fillId="0" borderId="10" xfId="0" applyNumberFormat="1" applyFont="1" applyBorder="1" applyAlignment="1" applyProtection="1" quotePrefix="1">
      <alignment horizontal="center" vertical="top" wrapText="1"/>
      <protection hidden="1"/>
    </xf>
    <xf numFmtId="0" fontId="7" fillId="0" borderId="18" xfId="0" applyFont="1" applyBorder="1" applyAlignment="1" applyProtection="1">
      <alignment vertical="top" wrapText="1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right" vertical="center"/>
      <protection hidden="1"/>
    </xf>
    <xf numFmtId="0" fontId="0" fillId="33" borderId="19" xfId="0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5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 vertical="top"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left" indent="2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9" fillId="0" borderId="16" xfId="0" applyFont="1" applyBorder="1" applyAlignment="1" applyProtection="1">
      <alignment horizontal="center" vertical="top" wrapText="1"/>
      <protection hidden="1"/>
    </xf>
    <xf numFmtId="0" fontId="76" fillId="0" borderId="19" xfId="0" applyFont="1" applyFill="1" applyBorder="1" applyAlignment="1" applyProtection="1">
      <alignment horizontal="left" vertical="top" indent="1"/>
      <protection hidden="1"/>
    </xf>
    <xf numFmtId="0" fontId="77" fillId="0" borderId="0" xfId="0" applyFont="1" applyFill="1" applyBorder="1" applyAlignment="1" applyProtection="1">
      <alignment horizontal="left" vertical="top" indent="1"/>
      <protection hidden="1"/>
    </xf>
    <xf numFmtId="3" fontId="78" fillId="0" borderId="13" xfId="0" applyNumberFormat="1" applyFont="1" applyFill="1" applyBorder="1" applyAlignment="1" applyProtection="1">
      <alignment horizontal="left" vertical="top" indent="1"/>
      <protection hidden="1"/>
    </xf>
    <xf numFmtId="0" fontId="46" fillId="0" borderId="0" xfId="0" applyFont="1" applyAlignment="1" applyProtection="1">
      <alignment horizontal="left"/>
      <protection hidden="1"/>
    </xf>
    <xf numFmtId="1" fontId="22" fillId="32" borderId="17" xfId="0" applyNumberFormat="1" applyFont="1" applyFill="1" applyBorder="1" applyAlignment="1" applyProtection="1">
      <alignment horizontal="center"/>
      <protection locked="0"/>
    </xf>
    <xf numFmtId="0" fontId="55" fillId="33" borderId="13" xfId="42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0" fillId="4" borderId="19" xfId="0" applyFill="1" applyBorder="1" applyAlignment="1" applyProtection="1">
      <alignment horizontal="righ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13" fillId="0" borderId="12" xfId="0" applyFont="1" applyFill="1" applyBorder="1" applyAlignment="1" applyProtection="1">
      <alignment vertical="top" wrapText="1"/>
      <protection hidden="1"/>
    </xf>
    <xf numFmtId="0" fontId="15" fillId="0" borderId="19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vertical="top" wrapText="1"/>
      <protection hidden="1"/>
    </xf>
    <xf numFmtId="0" fontId="12" fillId="0" borderId="18" xfId="0" applyFont="1" applyFill="1" applyBorder="1" applyAlignment="1" applyProtection="1">
      <alignment vertical="top" wrapText="1"/>
      <protection hidden="1"/>
    </xf>
    <xf numFmtId="0" fontId="15" fillId="0" borderId="13" xfId="0" applyFont="1" applyFill="1" applyBorder="1" applyAlignment="1" applyProtection="1">
      <alignment vertical="top" wrapText="1"/>
      <protection hidden="1"/>
    </xf>
    <xf numFmtId="17" fontId="9" fillId="0" borderId="10" xfId="0" applyNumberFormat="1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0" fillId="0" borderId="13" xfId="0" applyFont="1" applyBorder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left" vertical="top" wrapText="1"/>
      <protection hidden="1"/>
    </xf>
    <xf numFmtId="0" fontId="15" fillId="0" borderId="11" xfId="0" applyFont="1" applyFill="1" applyBorder="1" applyAlignment="1" applyProtection="1">
      <alignment horizontal="left" vertical="top" wrapText="1"/>
      <protection hidden="1"/>
    </xf>
    <xf numFmtId="0" fontId="15" fillId="0" borderId="19" xfId="0" applyFont="1" applyFill="1" applyBorder="1" applyAlignment="1" applyProtection="1">
      <alignment horizontal="left" vertical="top" wrapText="1"/>
      <protection hidden="1"/>
    </xf>
    <xf numFmtId="0" fontId="15" fillId="0" borderId="21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3" fillId="0" borderId="13" xfId="0" applyFont="1" applyBorder="1" applyAlignment="1" applyProtection="1">
      <alignment vertical="top" wrapText="1"/>
      <protection hidden="1"/>
    </xf>
    <xf numFmtId="0" fontId="62" fillId="0" borderId="13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15" fillId="0" borderId="18" xfId="0" applyFont="1" applyBorder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horizontal="left" vertical="top" wrapText="1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Alignment="1" applyProtection="1">
      <alignment horizontal="left" vertical="top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37" fillId="36" borderId="0" xfId="0" applyFont="1" applyFill="1" applyAlignment="1" applyProtection="1">
      <alignment/>
      <protection hidden="1"/>
    </xf>
    <xf numFmtId="0" fontId="9" fillId="36" borderId="0" xfId="0" applyFont="1" applyFill="1" applyBorder="1" applyAlignment="1" applyProtection="1">
      <alignment wrapText="1"/>
      <protection hidden="1"/>
    </xf>
    <xf numFmtId="0" fontId="4" fillId="36" borderId="0" xfId="0" applyFont="1" applyFill="1" applyBorder="1" applyAlignment="1" applyProtection="1">
      <alignment vertical="top" wrapText="1"/>
      <protection hidden="1"/>
    </xf>
    <xf numFmtId="0" fontId="11" fillId="36" borderId="0" xfId="0" applyFont="1" applyFill="1" applyBorder="1" applyAlignment="1" applyProtection="1">
      <alignment vertical="top" wrapText="1"/>
      <protection hidden="1"/>
    </xf>
    <xf numFmtId="0" fontId="0" fillId="36" borderId="0" xfId="0" applyFill="1" applyBorder="1" applyAlignment="1" applyProtection="1">
      <alignment/>
      <protection hidden="1"/>
    </xf>
    <xf numFmtId="0" fontId="25" fillId="36" borderId="0" xfId="0" applyFont="1" applyFill="1" applyBorder="1" applyAlignment="1" applyProtection="1">
      <alignment/>
      <protection hidden="1"/>
    </xf>
    <xf numFmtId="0" fontId="25" fillId="36" borderId="0" xfId="0" applyFont="1" applyFill="1" applyBorder="1" applyAlignment="1" applyProtection="1">
      <alignment horizontal="right" vertical="center"/>
      <protection hidden="1"/>
    </xf>
    <xf numFmtId="0" fontId="2" fillId="36" borderId="0" xfId="0" applyFont="1" applyFill="1" applyBorder="1" applyAlignment="1" applyProtection="1">
      <alignment vertical="top" wrapText="1"/>
      <protection hidden="1"/>
    </xf>
    <xf numFmtId="0" fontId="16" fillId="36" borderId="0" xfId="0" applyFont="1" applyFill="1" applyBorder="1" applyAlignment="1" applyProtection="1">
      <alignment vertical="top"/>
      <protection hidden="1"/>
    </xf>
    <xf numFmtId="0" fontId="45" fillId="0" borderId="11" xfId="0" applyFont="1" applyBorder="1" applyAlignment="1" applyProtection="1">
      <alignment horizontal="left" vertical="center"/>
      <protection hidden="1"/>
    </xf>
    <xf numFmtId="0" fontId="82" fillId="0" borderId="0" xfId="0" applyFont="1" applyAlignment="1" applyProtection="1">
      <alignment vertical="top"/>
      <protection hidden="1"/>
    </xf>
    <xf numFmtId="0" fontId="82" fillId="0" borderId="0" xfId="0" applyFont="1" applyAlignment="1" applyProtection="1">
      <alignment horizontal="left" vertical="top" indent="1"/>
      <protection hidden="1"/>
    </xf>
    <xf numFmtId="0" fontId="83" fillId="0" borderId="0" xfId="0" applyFont="1" applyAlignment="1" applyProtection="1">
      <alignment horizontal="justify" vertical="top" wrapText="1"/>
      <protection hidden="1"/>
    </xf>
    <xf numFmtId="0" fontId="41" fillId="34" borderId="21" xfId="0" applyFont="1" applyFill="1" applyBorder="1" applyAlignment="1" applyProtection="1">
      <alignment vertical="center"/>
      <protection hidden="1"/>
    </xf>
    <xf numFmtId="0" fontId="41" fillId="34" borderId="17" xfId="0" applyFont="1" applyFill="1" applyBorder="1" applyAlignment="1" applyProtection="1">
      <alignment vertical="center"/>
      <protection hidden="1"/>
    </xf>
    <xf numFmtId="0" fontId="41" fillId="34" borderId="23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37" borderId="0" xfId="0" applyFont="1" applyFill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0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4" fillId="0" borderId="0" xfId="0" applyFont="1" applyAlignment="1" applyProtection="1">
      <alignment vertical="top"/>
      <protection hidden="1"/>
    </xf>
    <xf numFmtId="0" fontId="85" fillId="0" borderId="0" xfId="0" applyFont="1" applyAlignment="1" applyProtection="1">
      <alignment vertical="top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85" fillId="0" borderId="0" xfId="0" applyFont="1" applyBorder="1" applyAlignment="1" applyProtection="1">
      <alignment horizontal="left" vertical="top" wrapText="1" indent="1"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83" fillId="0" borderId="0" xfId="0" applyFont="1" applyAlignment="1" applyProtection="1">
      <alignment vertical="top" wrapText="1"/>
      <protection hidden="1"/>
    </xf>
    <xf numFmtId="0" fontId="83" fillId="0" borderId="0" xfId="0" applyFont="1" applyBorder="1" applyAlignment="1" applyProtection="1">
      <alignment vertical="top" wrapText="1"/>
      <protection hidden="1"/>
    </xf>
    <xf numFmtId="0" fontId="83" fillId="0" borderId="0" xfId="0" applyFont="1" applyAlignment="1" applyProtection="1">
      <alignment horizontal="center" vertical="top"/>
      <protection hidden="1"/>
    </xf>
    <xf numFmtId="0" fontId="84" fillId="0" borderId="0" xfId="0" applyFont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15" fillId="0" borderId="18" xfId="0" applyFont="1" applyBorder="1" applyAlignment="1" applyProtection="1">
      <alignment horizontal="left" vertical="top" wrapText="1"/>
      <protection hidden="1"/>
    </xf>
    <xf numFmtId="0" fontId="12" fillId="0" borderId="18" xfId="0" applyFont="1" applyFill="1" applyBorder="1" applyAlignment="1" applyProtection="1">
      <alignment horizontal="center" vertical="top" wrapText="1"/>
      <protection hidden="1"/>
    </xf>
    <xf numFmtId="17" fontId="81" fillId="2" borderId="0" xfId="0" applyNumberFormat="1" applyFont="1" applyFill="1" applyAlignment="1" applyProtection="1">
      <alignment vertical="top"/>
      <protection hidden="1"/>
    </xf>
    <xf numFmtId="0" fontId="3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3" fillId="0" borderId="0" xfId="0" applyFont="1" applyAlignment="1" applyProtection="1">
      <alignment vertical="top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9" fillId="0" borderId="16" xfId="0" applyFont="1" applyBorder="1" applyAlignment="1" applyProtection="1">
      <alignment horizontal="center" vertical="top"/>
      <protection hidden="1"/>
    </xf>
    <xf numFmtId="49" fontId="9" fillId="0" borderId="16" xfId="0" applyNumberFormat="1" applyFont="1" applyBorder="1" applyAlignment="1" applyProtection="1">
      <alignment horizontal="center" vertical="top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0" fillId="0" borderId="12" xfId="0" applyBorder="1" applyAlignment="1" applyProtection="1">
      <alignment/>
      <protection hidden="1"/>
    </xf>
    <xf numFmtId="0" fontId="23" fillId="0" borderId="0" xfId="0" applyFont="1" applyAlignment="1" applyProtection="1">
      <alignment horizontal="left" indent="4"/>
      <protection hidden="1"/>
    </xf>
    <xf numFmtId="0" fontId="28" fillId="0" borderId="17" xfId="0" applyFont="1" applyBorder="1" applyAlignment="1" applyProtection="1">
      <alignment horizontal="center"/>
      <protection hidden="1"/>
    </xf>
    <xf numFmtId="0" fontId="47" fillId="0" borderId="0" xfId="0" applyFont="1" applyAlignment="1" applyProtection="1">
      <alignment wrapText="1"/>
      <protection hidden="1"/>
    </xf>
    <xf numFmtId="0" fontId="0" fillId="37" borderId="0" xfId="0" applyFill="1" applyAlignment="1" applyProtection="1">
      <alignment/>
      <protection hidden="1"/>
    </xf>
    <xf numFmtId="0" fontId="23" fillId="34" borderId="14" xfId="0" applyFont="1" applyFill="1" applyBorder="1" applyAlignment="1" applyProtection="1">
      <alignment horizontal="center" vertical="top"/>
      <protection hidden="1"/>
    </xf>
    <xf numFmtId="0" fontId="90" fillId="0" borderId="19" xfId="0" applyFont="1" applyBorder="1" applyAlignment="1" applyProtection="1">
      <alignment/>
      <protection hidden="1"/>
    </xf>
    <xf numFmtId="0" fontId="90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right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90" fillId="0" borderId="13" xfId="0" applyFont="1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right"/>
      <protection hidden="1"/>
    </xf>
    <xf numFmtId="0" fontId="90" fillId="0" borderId="0" xfId="0" applyFont="1" applyBorder="1" applyAlignment="1" applyProtection="1">
      <alignment horizontal="center"/>
      <protection hidden="1"/>
    </xf>
    <xf numFmtId="0" fontId="90" fillId="0" borderId="19" xfId="0" applyFont="1" applyBorder="1" applyAlignment="1" applyProtection="1">
      <alignment horizontal="left" vertical="top" wrapText="1" inden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90" fillId="0" borderId="13" xfId="0" applyFont="1" applyBorder="1" applyAlignment="1" applyProtection="1">
      <alignment horizontal="left" vertical="top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17" fontId="41" fillId="0" borderId="0" xfId="0" applyNumberFormat="1" applyFont="1" applyFill="1" applyAlignment="1" applyProtection="1">
      <alignment vertical="top"/>
      <protection hidden="1"/>
    </xf>
    <xf numFmtId="0" fontId="45" fillId="0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17" fontId="81" fillId="38" borderId="19" xfId="0" applyNumberFormat="1" applyFont="1" applyFill="1" applyBorder="1" applyAlignment="1" applyProtection="1">
      <alignment vertical="top"/>
      <protection hidden="1"/>
    </xf>
    <xf numFmtId="17" fontId="55" fillId="0" borderId="0" xfId="42" applyNumberFormat="1" applyFont="1" applyFill="1" applyAlignment="1" applyProtection="1">
      <alignment vertical="top"/>
      <protection hidden="1"/>
    </xf>
    <xf numFmtId="0" fontId="0" fillId="38" borderId="19" xfId="0" applyFill="1" applyBorder="1" applyAlignment="1">
      <alignment/>
    </xf>
    <xf numFmtId="0" fontId="0" fillId="38" borderId="19" xfId="0" applyFill="1" applyBorder="1" applyAlignment="1" applyProtection="1">
      <alignment/>
      <protection hidden="1"/>
    </xf>
    <xf numFmtId="0" fontId="37" fillId="38" borderId="19" xfId="0" applyFont="1" applyFill="1" applyBorder="1" applyAlignment="1" applyProtection="1">
      <alignment/>
      <protection hidden="1"/>
    </xf>
    <xf numFmtId="0" fontId="23" fillId="38" borderId="19" xfId="0" applyFont="1" applyFill="1" applyBorder="1" applyAlignment="1" applyProtection="1">
      <alignment vertical="top"/>
      <protection hidden="1"/>
    </xf>
    <xf numFmtId="0" fontId="0" fillId="38" borderId="19" xfId="0" applyFont="1" applyFill="1" applyBorder="1" applyAlignment="1" applyProtection="1">
      <alignment/>
      <protection hidden="1"/>
    </xf>
    <xf numFmtId="0" fontId="83" fillId="38" borderId="19" xfId="0" applyFont="1" applyFill="1" applyBorder="1" applyAlignment="1" applyProtection="1">
      <alignment vertical="top" wrapText="1"/>
      <protection hidden="1"/>
    </xf>
    <xf numFmtId="0" fontId="85" fillId="38" borderId="19" xfId="0" applyFont="1" applyFill="1" applyBorder="1" applyAlignment="1" applyProtection="1">
      <alignment horizontal="left" vertical="top" wrapText="1" indent="1"/>
      <protection hidden="1"/>
    </xf>
    <xf numFmtId="0" fontId="25" fillId="38" borderId="19" xfId="0" applyFont="1" applyFill="1" applyBorder="1" applyAlignment="1" applyProtection="1">
      <alignment/>
      <protection hidden="1"/>
    </xf>
    <xf numFmtId="0" fontId="24" fillId="38" borderId="19" xfId="0" applyFont="1" applyFill="1" applyBorder="1" applyAlignment="1" applyProtection="1">
      <alignment vertical="center"/>
      <protection hidden="1"/>
    </xf>
    <xf numFmtId="0" fontId="0" fillId="38" borderId="19" xfId="0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0" fillId="38" borderId="19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38" borderId="19" xfId="0" applyFont="1" applyFill="1" applyBorder="1" applyAlignment="1" applyProtection="1">
      <alignment horizontal="left" vertical="center"/>
      <protection hidden="1"/>
    </xf>
    <xf numFmtId="0" fontId="18" fillId="0" borderId="20" xfId="0" applyFont="1" applyBorder="1" applyAlignment="1" applyProtection="1">
      <alignment horizontal="right" vertical="top" indent="1"/>
      <protection hidden="1"/>
    </xf>
    <xf numFmtId="0" fontId="18" fillId="0" borderId="20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14" fontId="42" fillId="0" borderId="17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38" borderId="19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top" indent="1"/>
      <protection hidden="1"/>
    </xf>
    <xf numFmtId="0" fontId="30" fillId="37" borderId="0" xfId="0" applyFont="1" applyFill="1" applyAlignment="1" applyProtection="1">
      <alignment/>
      <protection hidden="1"/>
    </xf>
    <xf numFmtId="0" fontId="30" fillId="37" borderId="0" xfId="0" applyFont="1" applyFill="1" applyAlignment="1" applyProtection="1">
      <alignment horizontal="right" vertical="center"/>
      <protection hidden="1"/>
    </xf>
    <xf numFmtId="0" fontId="0" fillId="37" borderId="10" xfId="0" applyFont="1" applyFill="1" applyBorder="1" applyAlignment="1" applyProtection="1">
      <alignment horizontal="right" vertical="center"/>
      <protection hidden="1"/>
    </xf>
    <xf numFmtId="0" fontId="98" fillId="32" borderId="0" xfId="0" applyFont="1" applyFill="1" applyBorder="1" applyAlignment="1" applyProtection="1">
      <alignment vertical="center"/>
      <protection hidden="1"/>
    </xf>
    <xf numFmtId="0" fontId="98" fillId="32" borderId="19" xfId="0" applyFont="1" applyFill="1" applyBorder="1" applyAlignment="1" applyProtection="1">
      <alignment vertical="center"/>
      <protection hidden="1"/>
    </xf>
    <xf numFmtId="0" fontId="98" fillId="0" borderId="12" xfId="0" applyFont="1" applyBorder="1" applyAlignment="1" applyProtection="1">
      <alignment horizontal="right" vertical="center"/>
      <protection hidden="1"/>
    </xf>
    <xf numFmtId="0" fontId="98" fillId="33" borderId="16" xfId="0" applyFont="1" applyFill="1" applyBorder="1" applyAlignment="1" applyProtection="1">
      <alignment vertical="center"/>
      <protection hidden="1"/>
    </xf>
    <xf numFmtId="0" fontId="98" fillId="33" borderId="25" xfId="0" applyFont="1" applyFill="1" applyBorder="1" applyAlignment="1" applyProtection="1">
      <alignment vertical="center"/>
      <protection hidden="1"/>
    </xf>
    <xf numFmtId="0" fontId="98" fillId="33" borderId="25" xfId="0" applyFont="1" applyFill="1" applyBorder="1" applyAlignment="1" applyProtection="1">
      <alignment/>
      <protection hidden="1"/>
    </xf>
    <xf numFmtId="0" fontId="98" fillId="32" borderId="25" xfId="0" applyFont="1" applyFill="1" applyBorder="1" applyAlignment="1" applyProtection="1">
      <alignment/>
      <protection hidden="1"/>
    </xf>
    <xf numFmtId="0" fontId="99" fillId="33" borderId="20" xfId="0" applyFont="1" applyFill="1" applyBorder="1" applyAlignment="1" applyProtection="1">
      <alignment vertical="center"/>
      <protection hidden="1"/>
    </xf>
    <xf numFmtId="0" fontId="99" fillId="32" borderId="21" xfId="0" applyFont="1" applyFill="1" applyBorder="1" applyAlignment="1" applyProtection="1">
      <alignment vertical="center"/>
      <protection hidden="1"/>
    </xf>
    <xf numFmtId="0" fontId="98" fillId="0" borderId="0" xfId="0" applyFont="1" applyFill="1" applyBorder="1" applyAlignment="1" applyProtection="1">
      <alignment vertical="center"/>
      <protection hidden="1"/>
    </xf>
    <xf numFmtId="0" fontId="30" fillId="0" borderId="19" xfId="0" applyFont="1" applyFill="1" applyBorder="1" applyAlignment="1" applyProtection="1">
      <alignment horizontal="center" vertical="top" wrapText="1"/>
      <protection hidden="1"/>
    </xf>
    <xf numFmtId="0" fontId="0" fillId="33" borderId="22" xfId="0" applyFill="1" applyBorder="1" applyAlignment="1" applyProtection="1">
      <alignment horizontal="left" vertical="center"/>
      <protection hidden="1"/>
    </xf>
    <xf numFmtId="0" fontId="0" fillId="33" borderId="14" xfId="0" applyFill="1" applyBorder="1" applyAlignment="1" applyProtection="1">
      <alignment horizontal="right" vertical="center"/>
      <protection hidden="1"/>
    </xf>
    <xf numFmtId="0" fontId="100" fillId="4" borderId="0" xfId="0" applyFont="1" applyFill="1" applyAlignment="1" applyProtection="1">
      <alignment horizontal="right" vertical="center"/>
      <protection hidden="1"/>
    </xf>
    <xf numFmtId="0" fontId="0" fillId="33" borderId="10" xfId="0" applyFill="1" applyBorder="1" applyAlignment="1" applyProtection="1">
      <alignment horizontal="right" vertical="center"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6" fillId="0" borderId="19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187" fontId="23" fillId="32" borderId="17" xfId="0" applyNumberFormat="1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vertical="top"/>
      <protection hidden="1"/>
    </xf>
    <xf numFmtId="0" fontId="0" fillId="37" borderId="19" xfId="0" applyFill="1" applyBorder="1" applyAlignment="1" applyProtection="1">
      <alignment/>
      <protection hidden="1"/>
    </xf>
    <xf numFmtId="0" fontId="101" fillId="0" borderId="22" xfId="0" applyFont="1" applyFill="1" applyBorder="1" applyAlignment="1" applyProtection="1">
      <alignment horizontal="center" vertical="top"/>
      <protection hidden="1"/>
    </xf>
    <xf numFmtId="187" fontId="102" fillId="32" borderId="17" xfId="0" applyNumberFormat="1" applyFont="1" applyFill="1" applyBorder="1" applyAlignment="1" applyProtection="1">
      <alignment horizontal="left" vertical="top"/>
      <protection locked="0"/>
    </xf>
    <xf numFmtId="188" fontId="0" fillId="0" borderId="0" xfId="0" applyNumberForma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101" fillId="0" borderId="10" xfId="0" applyFont="1" applyBorder="1" applyAlignment="1" applyProtection="1">
      <alignment horizontal="left"/>
      <protection hidden="1"/>
    </xf>
    <xf numFmtId="0" fontId="103" fillId="0" borderId="0" xfId="0" applyFont="1" applyBorder="1" applyAlignment="1" applyProtection="1">
      <alignment horizontal="right" vertical="top"/>
      <protection hidden="1"/>
    </xf>
    <xf numFmtId="14" fontId="42" fillId="32" borderId="17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19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42" fillId="0" borderId="17" xfId="0" applyFont="1" applyFill="1" applyBorder="1" applyAlignment="1" applyProtection="1">
      <alignment vertical="top"/>
      <protection hidden="1"/>
    </xf>
    <xf numFmtId="0" fontId="42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5" fillId="0" borderId="0" xfId="0" applyFont="1" applyFill="1" applyBorder="1" applyAlignment="1" applyProtection="1">
      <alignment vertical="top"/>
      <protection hidden="1"/>
    </xf>
    <xf numFmtId="1" fontId="23" fillId="4" borderId="17" xfId="0" applyNumberFormat="1" applyFont="1" applyFill="1" applyBorder="1" applyAlignment="1" applyProtection="1">
      <alignment horizontal="left" vertical="center" indent="1"/>
      <protection locked="0"/>
    </xf>
    <xf numFmtId="0" fontId="34" fillId="37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horizontal="center" vertical="top"/>
      <protection hidden="1"/>
    </xf>
    <xf numFmtId="1" fontId="23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indent="1"/>
      <protection hidden="1"/>
    </xf>
    <xf numFmtId="1" fontId="26" fillId="4" borderId="23" xfId="0" applyNumberFormat="1" applyFont="1" applyFill="1" applyBorder="1" applyAlignment="1" applyProtection="1">
      <alignment horizontal="center" vertical="center"/>
      <protection locked="0"/>
    </xf>
    <xf numFmtId="0" fontId="34" fillId="37" borderId="0" xfId="0" applyFont="1" applyFill="1" applyAlignment="1" applyProtection="1">
      <alignment horizontal="left" indent="1"/>
      <protection hidden="1"/>
    </xf>
    <xf numFmtId="0" fontId="51" fillId="0" borderId="19" xfId="0" applyFont="1" applyFill="1" applyBorder="1" applyAlignment="1" applyProtection="1">
      <alignment horizontal="center" vertical="top"/>
      <protection hidden="1"/>
    </xf>
    <xf numFmtId="0" fontId="104" fillId="0" borderId="0" xfId="0" applyFont="1" applyFill="1" applyBorder="1" applyAlignment="1" applyProtection="1">
      <alignment horizontal="right" vertical="top"/>
      <protection hidden="1"/>
    </xf>
    <xf numFmtId="0" fontId="101" fillId="0" borderId="1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4" fillId="0" borderId="0" xfId="0" applyFont="1" applyFill="1" applyBorder="1" applyAlignment="1" applyProtection="1">
      <alignment vertical="top"/>
      <protection hidden="1"/>
    </xf>
    <xf numFmtId="0" fontId="107" fillId="0" borderId="10" xfId="0" applyFont="1" applyBorder="1" applyAlignment="1" applyProtection="1">
      <alignment wrapText="1"/>
      <protection hidden="1"/>
    </xf>
    <xf numFmtId="0" fontId="51" fillId="0" borderId="19" xfId="0" applyFont="1" applyFill="1" applyBorder="1" applyAlignment="1" applyProtection="1">
      <alignment vertical="top" wrapText="1"/>
      <protection hidden="1"/>
    </xf>
    <xf numFmtId="0" fontId="51" fillId="0" borderId="0" xfId="0" applyFont="1" applyFill="1" applyBorder="1" applyAlignment="1" applyProtection="1">
      <alignment vertical="top" wrapText="1"/>
      <protection hidden="1"/>
    </xf>
    <xf numFmtId="0" fontId="51" fillId="0" borderId="13" xfId="0" applyFont="1" applyFill="1" applyBorder="1" applyAlignment="1" applyProtection="1">
      <alignment vertical="top" wrapText="1"/>
      <protection hidden="1"/>
    </xf>
    <xf numFmtId="1" fontId="108" fillId="0" borderId="0" xfId="0" applyNumberFormat="1" applyFont="1" applyFill="1" applyBorder="1" applyAlignment="1" applyProtection="1">
      <alignment horizontal="center" vertical="top"/>
      <protection locked="0"/>
    </xf>
    <xf numFmtId="0" fontId="71" fillId="0" borderId="0" xfId="0" applyFont="1" applyFill="1" applyBorder="1" applyAlignment="1" applyProtection="1">
      <alignment vertical="top"/>
      <protection hidden="1"/>
    </xf>
    <xf numFmtId="1" fontId="26" fillId="32" borderId="17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left" vertical="top"/>
      <protection hidden="1"/>
    </xf>
    <xf numFmtId="0" fontId="109" fillId="0" borderId="0" xfId="0" applyFont="1" applyBorder="1" applyAlignment="1" applyProtection="1">
      <alignment horizontal="left"/>
      <protection hidden="1"/>
    </xf>
    <xf numFmtId="0" fontId="6" fillId="0" borderId="19" xfId="0" applyFont="1" applyFill="1" applyBorder="1" applyAlignment="1" applyProtection="1">
      <alignment horizontal="right" vertical="top" indent="1"/>
      <protection hidden="1"/>
    </xf>
    <xf numFmtId="0" fontId="6" fillId="0" borderId="13" xfId="0" applyFont="1" applyFill="1" applyBorder="1" applyAlignment="1" applyProtection="1">
      <alignment horizontal="left" vertical="top" indent="1"/>
      <protection hidden="1"/>
    </xf>
    <xf numFmtId="0" fontId="42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3" fillId="0" borderId="0" xfId="0" applyFont="1" applyAlignment="1" applyProtection="1">
      <alignment/>
      <protection hidden="1"/>
    </xf>
    <xf numFmtId="0" fontId="101" fillId="0" borderId="11" xfId="0" applyFont="1" applyBorder="1" applyAlignment="1" applyProtection="1">
      <alignment horizontal="left"/>
      <protection hidden="1"/>
    </xf>
    <xf numFmtId="187" fontId="102" fillId="32" borderId="0" xfId="0" applyNumberFormat="1" applyFont="1" applyFill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/>
      <protection hidden="1"/>
    </xf>
    <xf numFmtId="3" fontId="11" fillId="0" borderId="0" xfId="0" applyNumberFormat="1" applyFont="1" applyAlignment="1" applyProtection="1">
      <alignment vertical="top" wrapText="1"/>
      <protection hidden="1"/>
    </xf>
    <xf numFmtId="3" fontId="11" fillId="0" borderId="0" xfId="0" applyNumberFormat="1" applyFont="1" applyAlignment="1" applyProtection="1">
      <alignment horizontal="left" vertical="top" wrapText="1" indent="1"/>
      <protection hidden="1"/>
    </xf>
    <xf numFmtId="0" fontId="18" fillId="0" borderId="17" xfId="0" applyFont="1" applyBorder="1" applyAlignment="1" applyProtection="1">
      <alignment horizontal="center" vertical="top"/>
      <protection hidden="1"/>
    </xf>
    <xf numFmtId="3" fontId="11" fillId="0" borderId="0" xfId="0" applyNumberFormat="1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horizontal="right" indent="3"/>
      <protection hidden="1"/>
    </xf>
    <xf numFmtId="0" fontId="0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right"/>
      <protection hidden="1"/>
    </xf>
    <xf numFmtId="17" fontId="91" fillId="2" borderId="0" xfId="0" applyNumberFormat="1" applyFont="1" applyFill="1" applyAlignment="1" applyProtection="1">
      <alignment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43" fillId="0" borderId="0" xfId="0" applyFont="1" applyBorder="1" applyAlignment="1" applyProtection="1">
      <alignment horizontal="left" indent="1"/>
      <protection hidden="1"/>
    </xf>
    <xf numFmtId="0" fontId="42" fillId="0" borderId="0" xfId="0" applyFont="1" applyBorder="1" applyAlignment="1" applyProtection="1">
      <alignment horizontal="right" indent="2"/>
      <protection hidden="1"/>
    </xf>
    <xf numFmtId="0" fontId="42" fillId="0" borderId="17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right" indent="1"/>
      <protection hidden="1"/>
    </xf>
    <xf numFmtId="0" fontId="18" fillId="0" borderId="0" xfId="0" applyFont="1" applyBorder="1" applyAlignment="1" applyProtection="1">
      <alignment horizontal="right" indent="4"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2" fillId="0" borderId="20" xfId="0" applyFont="1" applyBorder="1" applyAlignment="1" applyProtection="1">
      <alignment horizontal="center"/>
      <protection hidden="1"/>
    </xf>
    <xf numFmtId="0" fontId="110" fillId="0" borderId="0" xfId="0" applyFont="1" applyBorder="1" applyAlignment="1" applyProtection="1">
      <alignment vertical="top" wrapText="1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 indent="1"/>
      <protection hidden="1"/>
    </xf>
    <xf numFmtId="0" fontId="43" fillId="36" borderId="0" xfId="0" applyFont="1" applyFill="1" applyBorder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0" fontId="42" fillId="36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36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38" fillId="0" borderId="0" xfId="0" applyFont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50" fillId="0" borderId="0" xfId="0" applyNumberFormat="1" applyFont="1" applyBorder="1" applyAlignment="1" applyProtection="1">
      <alignment horizontal="left"/>
      <protection hidden="1"/>
    </xf>
    <xf numFmtId="0" fontId="111" fillId="0" borderId="0" xfId="0" applyFont="1" applyAlignment="1" applyProtection="1">
      <alignment horizontal="center"/>
      <protection hidden="1"/>
    </xf>
    <xf numFmtId="0" fontId="0" fillId="36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44" fillId="0" borderId="0" xfId="0" applyFont="1" applyAlignment="1" applyProtection="1">
      <alignment horizontal="left" indent="1"/>
      <protection hidden="1"/>
    </xf>
    <xf numFmtId="1" fontId="0" fillId="0" borderId="0" xfId="0" applyNumberFormat="1" applyFont="1" applyBorder="1" applyAlignment="1" applyProtection="1">
      <alignment horizontal="left" indent="2"/>
      <protection hidden="1"/>
    </xf>
    <xf numFmtId="49" fontId="7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36" borderId="0" xfId="0" applyFont="1" applyFill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5" fillId="36" borderId="0" xfId="0" applyFont="1" applyFill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11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110" fillId="0" borderId="0" xfId="0" applyFont="1" applyAlignment="1" applyProtection="1">
      <alignment horizontal="left"/>
      <protection hidden="1"/>
    </xf>
    <xf numFmtId="0" fontId="110" fillId="0" borderId="0" xfId="0" applyFont="1" applyFill="1" applyAlignment="1" applyProtection="1">
      <alignment horizontal="left"/>
      <protection hidden="1"/>
    </xf>
    <xf numFmtId="0" fontId="0" fillId="38" borderId="1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10" fillId="0" borderId="0" xfId="0" applyFont="1" applyAlignment="1" applyProtection="1">
      <alignment horizontal="center"/>
      <protection hidden="1"/>
    </xf>
    <xf numFmtId="0" fontId="112" fillId="0" borderId="0" xfId="0" applyFont="1" applyBorder="1" applyAlignment="1" applyProtection="1">
      <alignment vertical="top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36" borderId="0" xfId="0" applyFont="1" applyFill="1" applyBorder="1" applyAlignment="1" applyProtection="1">
      <alignment vertical="top" wrapText="1"/>
      <protection hidden="1"/>
    </xf>
    <xf numFmtId="0" fontId="25" fillId="0" borderId="0" xfId="0" applyFont="1" applyBorder="1" applyAlignment="1" applyProtection="1">
      <alignment horizontal="right" indent="1"/>
      <protection hidden="1"/>
    </xf>
    <xf numFmtId="0" fontId="6" fillId="36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42" fillId="38" borderId="19" xfId="0" applyFont="1" applyFill="1" applyBorder="1" applyAlignment="1" applyProtection="1">
      <alignment horizontal="left" indent="1"/>
      <protection hidden="1"/>
    </xf>
    <xf numFmtId="0" fontId="9" fillId="36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1" fillId="0" borderId="15" xfId="0" applyFont="1" applyBorder="1" applyAlignment="1" applyProtection="1">
      <alignment/>
      <protection hidden="1"/>
    </xf>
    <xf numFmtId="0" fontId="37" fillId="4" borderId="10" xfId="0" applyFont="1" applyFill="1" applyBorder="1" applyAlignment="1" applyProtection="1">
      <alignment vertical="center"/>
      <protection hidden="1"/>
    </xf>
    <xf numFmtId="0" fontId="37" fillId="36" borderId="0" xfId="0" applyFont="1" applyFill="1" applyBorder="1" applyAlignment="1" applyProtection="1">
      <alignment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23" fillId="39" borderId="19" xfId="0" applyFont="1" applyFill="1" applyBorder="1" applyAlignment="1" applyProtection="1">
      <alignment horizontal="left" vertical="top"/>
      <protection hidden="1"/>
    </xf>
    <xf numFmtId="0" fontId="39" fillId="39" borderId="0" xfId="0" applyFont="1" applyFill="1" applyBorder="1" applyAlignment="1" applyProtection="1">
      <alignment/>
      <protection hidden="1"/>
    </xf>
    <xf numFmtId="0" fontId="17" fillId="39" borderId="22" xfId="42" applyFill="1" applyBorder="1" applyAlignment="1" applyProtection="1">
      <alignment/>
      <protection hidden="1"/>
    </xf>
    <xf numFmtId="0" fontId="17" fillId="39" borderId="14" xfId="42" applyFill="1" applyBorder="1" applyAlignment="1" applyProtection="1">
      <alignment/>
      <protection hidden="1"/>
    </xf>
    <xf numFmtId="1" fontId="0" fillId="39" borderId="0" xfId="0" applyNumberFormat="1" applyFill="1" applyBorder="1" applyAlignment="1" applyProtection="1">
      <alignment/>
      <protection hidden="1"/>
    </xf>
    <xf numFmtId="0" fontId="0" fillId="39" borderId="19" xfId="0" applyFill="1" applyBorder="1" applyAlignment="1" applyProtection="1">
      <alignment/>
      <protection hidden="1"/>
    </xf>
    <xf numFmtId="0" fontId="17" fillId="39" borderId="19" xfId="42" applyFill="1" applyBorder="1" applyAlignment="1" applyProtection="1">
      <alignment/>
      <protection hidden="1"/>
    </xf>
    <xf numFmtId="0" fontId="17" fillId="39" borderId="13" xfId="42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/>
      <protection hidden="1"/>
    </xf>
    <xf numFmtId="0" fontId="17" fillId="39" borderId="21" xfId="42" applyFill="1" applyBorder="1" applyAlignment="1" applyProtection="1">
      <alignment vertical="top"/>
      <protection hidden="1"/>
    </xf>
    <xf numFmtId="0" fontId="0" fillId="39" borderId="23" xfId="0" applyFill="1" applyBorder="1" applyAlignment="1" applyProtection="1">
      <alignment/>
      <protection hidden="1"/>
    </xf>
    <xf numFmtId="0" fontId="47" fillId="40" borderId="0" xfId="0" applyFont="1" applyFill="1" applyAlignment="1" applyProtection="1">
      <alignment/>
      <protection hidden="1"/>
    </xf>
    <xf numFmtId="0" fontId="15" fillId="0" borderId="19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left" vertical="center" wrapText="1"/>
      <protection hidden="1"/>
    </xf>
    <xf numFmtId="0" fontId="0" fillId="41" borderId="0" xfId="0" applyFill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7" fillId="37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47" fillId="0" borderId="21" xfId="0" applyFont="1" applyBorder="1" applyAlignment="1" applyProtection="1">
      <alignment/>
      <protection hidden="1"/>
    </xf>
    <xf numFmtId="0" fontId="46" fillId="0" borderId="17" xfId="0" applyFont="1" applyBorder="1" applyAlignment="1" applyProtection="1">
      <alignment/>
      <protection hidden="1"/>
    </xf>
    <xf numFmtId="0" fontId="49" fillId="0" borderId="17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47" fillId="18" borderId="0" xfId="0" applyFont="1" applyFill="1" applyAlignment="1" applyProtection="1">
      <alignment/>
      <protection hidden="1"/>
    </xf>
    <xf numFmtId="0" fontId="47" fillId="18" borderId="21" xfId="0" applyFont="1" applyFill="1" applyBorder="1" applyAlignment="1" applyProtection="1">
      <alignment/>
      <protection hidden="1"/>
    </xf>
    <xf numFmtId="189" fontId="0" fillId="0" borderId="17" xfId="0" applyNumberForma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 vertical="top"/>
      <protection hidden="1"/>
    </xf>
    <xf numFmtId="0" fontId="114" fillId="42" borderId="0" xfId="0" applyFont="1" applyFill="1" applyBorder="1" applyAlignment="1" applyProtection="1">
      <alignment horizontal="right" vertical="top"/>
      <protection hidden="1"/>
    </xf>
    <xf numFmtId="14" fontId="116" fillId="42" borderId="0" xfId="0" applyNumberFormat="1" applyFont="1" applyFill="1" applyBorder="1" applyAlignment="1" applyProtection="1">
      <alignment horizontal="center" vertical="top"/>
      <protection hidden="1"/>
    </xf>
    <xf numFmtId="14" fontId="114" fillId="42" borderId="0" xfId="0" applyNumberFormat="1" applyFont="1" applyFill="1" applyBorder="1" applyAlignment="1" applyProtection="1">
      <alignment horizontal="left"/>
      <protection hidden="1"/>
    </xf>
    <xf numFmtId="0" fontId="0" fillId="43" borderId="0" xfId="0" applyFill="1" applyAlignment="1" applyProtection="1">
      <alignment/>
      <protection hidden="1"/>
    </xf>
    <xf numFmtId="0" fontId="7" fillId="0" borderId="0" xfId="0" applyFont="1" applyBorder="1" applyAlignment="1" applyProtection="1">
      <alignment horizontal="right" vertical="top"/>
      <protection hidden="1"/>
    </xf>
    <xf numFmtId="14" fontId="43" fillId="0" borderId="0" xfId="0" applyNumberFormat="1" applyFont="1" applyFill="1" applyBorder="1" applyAlignment="1" applyProtection="1">
      <alignment horizontal="center" vertical="top"/>
      <protection hidden="1"/>
    </xf>
    <xf numFmtId="14" fontId="7" fillId="0" borderId="0" xfId="0" applyNumberFormat="1" applyFont="1" applyBorder="1" applyAlignment="1" applyProtection="1">
      <alignment horizontal="left"/>
      <protection hidden="1"/>
    </xf>
    <xf numFmtId="17" fontId="59" fillId="38" borderId="0" xfId="0" applyNumberFormat="1" applyFont="1" applyFill="1" applyAlignment="1" applyProtection="1">
      <alignment vertical="top"/>
      <protection hidden="1"/>
    </xf>
    <xf numFmtId="0" fontId="0" fillId="0" borderId="0" xfId="0" applyAlignment="1" applyProtection="1">
      <alignment wrapText="1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hidden="1"/>
    </xf>
    <xf numFmtId="0" fontId="4" fillId="0" borderId="18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top" wrapText="1"/>
      <protection hidden="1"/>
    </xf>
    <xf numFmtId="0" fontId="7" fillId="0" borderId="12" xfId="0" applyFont="1" applyFill="1" applyBorder="1" applyAlignment="1" applyProtection="1">
      <alignment vertical="top" wrapText="1"/>
      <protection hidden="1"/>
    </xf>
    <xf numFmtId="0" fontId="7" fillId="0" borderId="18" xfId="0" applyFont="1" applyFill="1" applyBorder="1" applyAlignment="1" applyProtection="1">
      <alignment vertical="top" wrapText="1"/>
      <protection hidden="1"/>
    </xf>
    <xf numFmtId="0" fontId="7" fillId="0" borderId="11" xfId="0" applyFont="1" applyBorder="1" applyAlignment="1" applyProtection="1">
      <alignment vertical="top"/>
      <protection hidden="1"/>
    </xf>
    <xf numFmtId="0" fontId="7" fillId="0" borderId="12" xfId="0" applyFont="1" applyBorder="1" applyAlignment="1" applyProtection="1">
      <alignment vertical="top"/>
      <protection hidden="1"/>
    </xf>
    <xf numFmtId="0" fontId="7" fillId="0" borderId="18" xfId="0" applyFont="1" applyBorder="1" applyAlignment="1" applyProtection="1">
      <alignment vertical="top"/>
      <protection hidden="1"/>
    </xf>
    <xf numFmtId="0" fontId="24" fillId="34" borderId="22" xfId="0" applyFont="1" applyFill="1" applyBorder="1" applyAlignment="1" applyProtection="1">
      <alignment horizontal="center" vertical="top"/>
      <protection hidden="1"/>
    </xf>
    <xf numFmtId="0" fontId="24" fillId="34" borderId="15" xfId="0" applyFont="1" applyFill="1" applyBorder="1" applyAlignment="1" applyProtection="1">
      <alignment horizontal="center" vertical="top"/>
      <protection hidden="1"/>
    </xf>
    <xf numFmtId="0" fontId="23" fillId="32" borderId="17" xfId="0" applyFont="1" applyFill="1" applyBorder="1" applyAlignment="1" applyProtection="1">
      <alignment horizontal="center" vertical="top"/>
      <protection locked="0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3" fontId="26" fillId="32" borderId="17" xfId="0" applyNumberFormat="1" applyFont="1" applyFill="1" applyBorder="1" applyAlignment="1" applyProtection="1">
      <alignment horizontal="left" vertical="top" indent="1"/>
      <protection/>
    </xf>
    <xf numFmtId="0" fontId="74" fillId="3" borderId="19" xfId="0" applyFont="1" applyFill="1" applyBorder="1" applyAlignment="1" applyProtection="1">
      <alignment horizontal="left" vertical="center" wrapText="1" indent="1"/>
      <protection hidden="1"/>
    </xf>
    <xf numFmtId="0" fontId="74" fillId="3" borderId="0" xfId="0" applyFont="1" applyFill="1" applyBorder="1" applyAlignment="1" applyProtection="1">
      <alignment horizontal="left" vertical="center" wrapText="1" indent="1"/>
      <protection hidden="1"/>
    </xf>
    <xf numFmtId="0" fontId="74" fillId="3" borderId="13" xfId="0" applyFont="1" applyFill="1" applyBorder="1" applyAlignment="1" applyProtection="1">
      <alignment horizontal="left" vertical="center" wrapText="1" indent="1"/>
      <protection hidden="1"/>
    </xf>
    <xf numFmtId="0" fontId="30" fillId="34" borderId="19" xfId="0" applyFont="1" applyFill="1" applyBorder="1" applyAlignment="1" applyProtection="1">
      <alignment horizontal="center" vertical="top" wrapText="1"/>
      <protection hidden="1"/>
    </xf>
    <xf numFmtId="0" fontId="23" fillId="34" borderId="0" xfId="0" applyFont="1" applyFill="1" applyBorder="1" applyAlignment="1" applyProtection="1">
      <alignment horizontal="center" vertical="top"/>
      <protection hidden="1"/>
    </xf>
    <xf numFmtId="0" fontId="6" fillId="0" borderId="19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6" fillId="0" borderId="19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41" fillId="34" borderId="22" xfId="0" applyFont="1" applyFill="1" applyBorder="1" applyAlignment="1" applyProtection="1">
      <alignment horizontal="center" vertical="center"/>
      <protection hidden="1"/>
    </xf>
    <xf numFmtId="0" fontId="41" fillId="34" borderId="15" xfId="0" applyFont="1" applyFill="1" applyBorder="1" applyAlignment="1" applyProtection="1">
      <alignment horizontal="center" vertical="center"/>
      <protection hidden="1"/>
    </xf>
    <xf numFmtId="0" fontId="41" fillId="34" borderId="14" xfId="0" applyFont="1" applyFill="1" applyBorder="1" applyAlignment="1" applyProtection="1">
      <alignment horizontal="center" vertical="center"/>
      <protection hidden="1"/>
    </xf>
    <xf numFmtId="0" fontId="92" fillId="39" borderId="0" xfId="0" applyFont="1" applyFill="1" applyBorder="1" applyAlignment="1" applyProtection="1">
      <alignment horizontal="center" vertical="top" wrapText="1"/>
      <protection hidden="1"/>
    </xf>
    <xf numFmtId="0" fontId="92" fillId="39" borderId="13" xfId="0" applyFont="1" applyFill="1" applyBorder="1" applyAlignment="1" applyProtection="1">
      <alignment horizontal="center" vertical="top" wrapText="1"/>
      <protection hidden="1"/>
    </xf>
    <xf numFmtId="0" fontId="91" fillId="39" borderId="22" xfId="0" applyFont="1" applyFill="1" applyBorder="1" applyAlignment="1" applyProtection="1">
      <alignment horizontal="center" vertical="center" wrapText="1"/>
      <protection hidden="1"/>
    </xf>
    <xf numFmtId="0" fontId="91" fillId="39" borderId="15" xfId="0" applyFont="1" applyFill="1" applyBorder="1" applyAlignment="1" applyProtection="1">
      <alignment horizontal="center" vertical="center" wrapText="1"/>
      <protection hidden="1"/>
    </xf>
    <xf numFmtId="0" fontId="91" fillId="39" borderId="14" xfId="0" applyFont="1" applyFill="1" applyBorder="1" applyAlignment="1" applyProtection="1">
      <alignment horizontal="center" vertical="center" wrapText="1"/>
      <protection hidden="1"/>
    </xf>
    <xf numFmtId="0" fontId="40" fillId="39" borderId="26" xfId="0" applyFont="1" applyFill="1" applyBorder="1" applyAlignment="1" applyProtection="1">
      <alignment horizontal="center" vertical="top"/>
      <protection locked="0"/>
    </xf>
    <xf numFmtId="0" fontId="40" fillId="39" borderId="27" xfId="0" applyFont="1" applyFill="1" applyBorder="1" applyAlignment="1" applyProtection="1">
      <alignment horizontal="center" vertical="top"/>
      <protection locked="0"/>
    </xf>
    <xf numFmtId="0" fontId="93" fillId="39" borderId="0" xfId="0" applyFont="1" applyFill="1" applyBorder="1" applyAlignment="1" applyProtection="1">
      <alignment horizontal="center" wrapText="1"/>
      <protection hidden="1"/>
    </xf>
    <xf numFmtId="0" fontId="93" fillId="39" borderId="13" xfId="0" applyFont="1" applyFill="1" applyBorder="1" applyAlignment="1" applyProtection="1">
      <alignment horizontal="center" wrapText="1"/>
      <protection hidden="1"/>
    </xf>
    <xf numFmtId="0" fontId="92" fillId="39" borderId="0" xfId="0" applyFont="1" applyFill="1" applyBorder="1" applyAlignment="1" applyProtection="1">
      <alignment horizontal="center" vertical="center" wrapText="1"/>
      <protection hidden="1"/>
    </xf>
    <xf numFmtId="0" fontId="92" fillId="39" borderId="13" xfId="0" applyFont="1" applyFill="1" applyBorder="1" applyAlignment="1" applyProtection="1">
      <alignment horizontal="center" vertical="center" wrapText="1"/>
      <protection hidden="1"/>
    </xf>
    <xf numFmtId="0" fontId="66" fillId="39" borderId="19" xfId="0" applyFont="1" applyFill="1" applyBorder="1" applyAlignment="1" applyProtection="1">
      <alignment horizontal="center" vertical="center" wrapText="1"/>
      <protection hidden="1"/>
    </xf>
    <xf numFmtId="0" fontId="66" fillId="39" borderId="0" xfId="0" applyFont="1" applyFill="1" applyBorder="1" applyAlignment="1" applyProtection="1">
      <alignment horizontal="center" vertical="center" wrapText="1"/>
      <protection hidden="1"/>
    </xf>
    <xf numFmtId="0" fontId="66" fillId="39" borderId="13" xfId="0" applyFont="1" applyFill="1" applyBorder="1" applyAlignment="1" applyProtection="1">
      <alignment horizontal="center" vertical="center" wrapText="1"/>
      <protection hidden="1"/>
    </xf>
    <xf numFmtId="0" fontId="50" fillId="0" borderId="16" xfId="0" applyFont="1" applyBorder="1" applyAlignment="1" applyProtection="1">
      <alignment horizontal="left" vertical="top" wrapText="1" indent="1"/>
      <protection hidden="1"/>
    </xf>
    <xf numFmtId="0" fontId="50" fillId="0" borderId="20" xfId="0" applyFont="1" applyBorder="1" applyAlignment="1" applyProtection="1">
      <alignment horizontal="left" vertical="top" wrapText="1" indent="1"/>
      <protection hidden="1"/>
    </xf>
    <xf numFmtId="0" fontId="50" fillId="0" borderId="25" xfId="0" applyFont="1" applyBorder="1" applyAlignment="1" applyProtection="1">
      <alignment horizontal="left" vertical="top" wrapText="1" indent="1"/>
      <protection hidden="1"/>
    </xf>
    <xf numFmtId="0" fontId="50" fillId="0" borderId="22" xfId="0" applyFont="1" applyBorder="1" applyAlignment="1" applyProtection="1">
      <alignment horizontal="left" vertical="top" wrapText="1" indent="1"/>
      <protection hidden="1"/>
    </xf>
    <xf numFmtId="0" fontId="50" fillId="0" borderId="15" xfId="0" applyFont="1" applyBorder="1" applyAlignment="1" applyProtection="1">
      <alignment horizontal="left" vertical="top" wrapText="1" indent="1"/>
      <protection hidden="1"/>
    </xf>
    <xf numFmtId="0" fontId="50" fillId="0" borderId="14" xfId="0" applyFont="1" applyBorder="1" applyAlignment="1" applyProtection="1">
      <alignment horizontal="left" vertical="top" wrapText="1" indent="1"/>
      <protection hidden="1"/>
    </xf>
    <xf numFmtId="0" fontId="50" fillId="0" borderId="21" xfId="0" applyFont="1" applyBorder="1" applyAlignment="1" applyProtection="1">
      <alignment horizontal="left" vertical="top" wrapText="1" indent="1"/>
      <protection hidden="1"/>
    </xf>
    <xf numFmtId="0" fontId="50" fillId="0" borderId="17" xfId="0" applyFont="1" applyBorder="1" applyAlignment="1" applyProtection="1">
      <alignment horizontal="left" vertical="top" wrapText="1" indent="1"/>
      <protection hidden="1"/>
    </xf>
    <xf numFmtId="0" fontId="50" fillId="0" borderId="23" xfId="0" applyFont="1" applyBorder="1" applyAlignment="1" applyProtection="1">
      <alignment horizontal="left" vertical="top" wrapText="1" indent="1"/>
      <protection hidden="1"/>
    </xf>
    <xf numFmtId="0" fontId="70" fillId="0" borderId="19" xfId="0" applyFont="1" applyBorder="1" applyAlignment="1" applyProtection="1">
      <alignment horizontal="center" vertical="center"/>
      <protection hidden="1"/>
    </xf>
    <xf numFmtId="0" fontId="70" fillId="0" borderId="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left" vertical="top" indent="1"/>
      <protection hidden="1"/>
    </xf>
    <xf numFmtId="0" fontId="0" fillId="0" borderId="0" xfId="0" applyBorder="1" applyAlignment="1" applyProtection="1">
      <alignment horizontal="left" vertical="top" indent="1"/>
      <protection hidden="1"/>
    </xf>
    <xf numFmtId="0" fontId="0" fillId="32" borderId="0" xfId="0" applyFill="1" applyBorder="1" applyAlignment="1" applyProtection="1">
      <alignment horizontal="center" wrapText="1"/>
      <protection hidden="1"/>
    </xf>
    <xf numFmtId="0" fontId="55" fillId="33" borderId="19" xfId="42" applyFont="1" applyFill="1" applyBorder="1" applyAlignment="1" applyProtection="1">
      <alignment horizontal="center" vertical="center"/>
      <protection hidden="1"/>
    </xf>
    <xf numFmtId="0" fontId="55" fillId="33" borderId="0" xfId="42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 wrapText="1" indent="1"/>
      <protection hidden="1"/>
    </xf>
    <xf numFmtId="0" fontId="0" fillId="0" borderId="17" xfId="0" applyBorder="1" applyAlignment="1" applyProtection="1">
      <alignment horizontal="left" wrapText="1" indent="1"/>
      <protection hidden="1"/>
    </xf>
    <xf numFmtId="0" fontId="41" fillId="34" borderId="19" xfId="0" applyFont="1" applyFill="1" applyBorder="1" applyAlignment="1" applyProtection="1">
      <alignment horizontal="center" vertical="center"/>
      <protection hidden="1"/>
    </xf>
    <xf numFmtId="0" fontId="41" fillId="34" borderId="0" xfId="0" applyFont="1" applyFill="1" applyBorder="1" applyAlignment="1" applyProtection="1">
      <alignment horizontal="center" vertical="center"/>
      <protection hidden="1"/>
    </xf>
    <xf numFmtId="0" fontId="41" fillId="34" borderId="13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left" wrapText="1" indent="1"/>
      <protection hidden="1"/>
    </xf>
    <xf numFmtId="0" fontId="6" fillId="0" borderId="0" xfId="0" applyFont="1" applyFill="1" applyBorder="1" applyAlignment="1" applyProtection="1">
      <alignment horizontal="left" wrapText="1" inden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26" fillId="32" borderId="17" xfId="0" applyFont="1" applyFill="1" applyBorder="1" applyAlignment="1" applyProtection="1">
      <alignment horizontal="left" vertical="top" indent="1"/>
      <protection locked="0"/>
    </xf>
    <xf numFmtId="0" fontId="23" fillId="34" borderId="19" xfId="0" applyFont="1" applyFill="1" applyBorder="1" applyAlignment="1" applyProtection="1">
      <alignment horizontal="center" vertical="top"/>
      <protection hidden="1"/>
    </xf>
    <xf numFmtId="0" fontId="90" fillId="0" borderId="19" xfId="0" applyFont="1" applyBorder="1" applyAlignment="1" applyProtection="1">
      <alignment horizontal="left" vertical="top" wrapText="1" inden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90" fillId="0" borderId="13" xfId="0" applyFont="1" applyBorder="1" applyAlignment="1" applyProtection="1">
      <alignment horizontal="left" vertical="top" wrapText="1" indent="1"/>
      <protection hidden="1"/>
    </xf>
    <xf numFmtId="0" fontId="113" fillId="0" borderId="21" xfId="0" applyFont="1" applyBorder="1" applyAlignment="1" applyProtection="1">
      <alignment horizontal="left" vertical="top" wrapText="1" indent="1"/>
      <protection hidden="1"/>
    </xf>
    <xf numFmtId="0" fontId="113" fillId="0" borderId="17" xfId="0" applyFont="1" applyBorder="1" applyAlignment="1" applyProtection="1">
      <alignment horizontal="left" vertical="top" wrapText="1" indent="1"/>
      <protection hidden="1"/>
    </xf>
    <xf numFmtId="0" fontId="113" fillId="0" borderId="23" xfId="0" applyFont="1" applyBorder="1" applyAlignment="1" applyProtection="1">
      <alignment horizontal="left" vertical="top" wrapText="1" indent="1"/>
      <protection hidden="1"/>
    </xf>
    <xf numFmtId="0" fontId="87" fillId="0" borderId="19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9" fillId="0" borderId="21" xfId="0" applyFont="1" applyBorder="1" applyAlignment="1" applyProtection="1">
      <alignment horizontal="left" vertical="top" wrapText="1"/>
      <protection hidden="1"/>
    </xf>
    <xf numFmtId="0" fontId="89" fillId="0" borderId="17" xfId="0" applyFont="1" applyBorder="1" applyAlignment="1" applyProtection="1">
      <alignment horizontal="left" vertical="top" wrapText="1"/>
      <protection hidden="1"/>
    </xf>
    <xf numFmtId="0" fontId="89" fillId="0" borderId="23" xfId="0" applyFont="1" applyBorder="1" applyAlignment="1" applyProtection="1">
      <alignment horizontal="left" vertical="top" wrapText="1"/>
      <protection hidden="1"/>
    </xf>
    <xf numFmtId="3" fontId="26" fillId="4" borderId="17" xfId="0" applyNumberFormat="1" applyFont="1" applyFill="1" applyBorder="1" applyAlignment="1" applyProtection="1">
      <alignment horizontal="left" vertical="top" indent="1"/>
      <protection hidden="1"/>
    </xf>
    <xf numFmtId="0" fontId="6" fillId="0" borderId="19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3" fontId="80" fillId="0" borderId="0" xfId="0" applyNumberFormat="1" applyFont="1" applyFill="1" applyBorder="1" applyAlignment="1" applyProtection="1">
      <alignment horizontal="left" vertical="top" wrapText="1" indent="1"/>
      <protection hidden="1"/>
    </xf>
    <xf numFmtId="0" fontId="23" fillId="32" borderId="2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hidden="1" locked="0"/>
    </xf>
    <xf numFmtId="0" fontId="86" fillId="0" borderId="22" xfId="0" applyFont="1" applyBorder="1" applyAlignment="1">
      <alignment horizontal="center" vertical="top" wrapText="1"/>
    </xf>
    <xf numFmtId="0" fontId="86" fillId="0" borderId="15" xfId="0" applyFont="1" applyBorder="1" applyAlignment="1">
      <alignment horizontal="center" vertical="top" wrapText="1"/>
    </xf>
    <xf numFmtId="0" fontId="86" fillId="0" borderId="14" xfId="0" applyFont="1" applyBorder="1" applyAlignment="1">
      <alignment horizontal="center" vertical="top" wrapText="1"/>
    </xf>
    <xf numFmtId="0" fontId="87" fillId="0" borderId="19" xfId="0" applyFont="1" applyBorder="1" applyAlignment="1">
      <alignment horizontal="left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6" fillId="32" borderId="17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0" fontId="26" fillId="4" borderId="0" xfId="0" applyFont="1" applyFill="1" applyBorder="1" applyAlignment="1" applyProtection="1">
      <alignment horizontal="left" vertical="top" wrapText="1" indent="1"/>
      <protection locked="0"/>
    </xf>
    <xf numFmtId="0" fontId="26" fillId="4" borderId="17" xfId="0" applyFont="1" applyFill="1" applyBorder="1" applyAlignment="1" applyProtection="1">
      <alignment horizontal="left" vertical="top" wrapText="1" indent="1"/>
      <protection locked="0"/>
    </xf>
    <xf numFmtId="0" fontId="26" fillId="4" borderId="17" xfId="0" applyFont="1" applyFill="1" applyBorder="1" applyAlignment="1" applyProtection="1">
      <alignment horizontal="left" vertical="top" indent="1"/>
      <protection locked="0"/>
    </xf>
    <xf numFmtId="0" fontId="0" fillId="0" borderId="19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42" fillId="4" borderId="19" xfId="0" applyFont="1" applyFill="1" applyBorder="1" applyAlignment="1" applyProtection="1">
      <alignment horizontal="left" indent="1"/>
      <protection locked="0"/>
    </xf>
    <xf numFmtId="0" fontId="42" fillId="4" borderId="0" xfId="0" applyFont="1" applyFill="1" applyBorder="1" applyAlignment="1" applyProtection="1">
      <alignment horizontal="left" indent="1"/>
      <protection locked="0"/>
    </xf>
    <xf numFmtId="3" fontId="26" fillId="32" borderId="17" xfId="0" applyNumberFormat="1" applyFont="1" applyFill="1" applyBorder="1" applyAlignment="1" applyProtection="1">
      <alignment horizontal="left" vertical="top"/>
      <protection locked="0"/>
    </xf>
    <xf numFmtId="3" fontId="18" fillId="4" borderId="19" xfId="0" applyNumberFormat="1" applyFont="1" applyFill="1" applyBorder="1" applyAlignment="1" applyProtection="1">
      <alignment horizontal="center" vertical="center" wrapText="1"/>
      <protection hidden="1"/>
    </xf>
    <xf numFmtId="3" fontId="18" fillId="4" borderId="21" xfId="0" applyNumberFormat="1" applyFont="1" applyFill="1" applyBorder="1" applyAlignment="1" applyProtection="1">
      <alignment horizontal="center" vertical="center" wrapText="1"/>
      <protection hidden="1"/>
    </xf>
    <xf numFmtId="3" fontId="90" fillId="32" borderId="0" xfId="0" applyNumberFormat="1" applyFont="1" applyFill="1" applyBorder="1" applyAlignment="1" applyProtection="1">
      <alignment horizontal="left" vertical="top" wrapText="1" indent="1"/>
      <protection locked="0"/>
    </xf>
    <xf numFmtId="3" fontId="90" fillId="32" borderId="13" xfId="0" applyNumberFormat="1" applyFont="1" applyFill="1" applyBorder="1" applyAlignment="1" applyProtection="1">
      <alignment horizontal="left" vertical="top" wrapText="1" indent="1"/>
      <protection locked="0"/>
    </xf>
    <xf numFmtId="0" fontId="42" fillId="0" borderId="17" xfId="0" applyFont="1" applyFill="1" applyBorder="1" applyAlignment="1" applyProtection="1">
      <alignment horizontal="center" vertical="center"/>
      <protection/>
    </xf>
    <xf numFmtId="0" fontId="42" fillId="36" borderId="17" xfId="0" applyFont="1" applyFill="1" applyBorder="1" applyAlignment="1" applyProtection="1">
      <alignment horizontal="center" vertical="center"/>
      <protection locked="0"/>
    </xf>
    <xf numFmtId="0" fontId="18" fillId="4" borderId="19" xfId="0" applyFont="1" applyFill="1" applyBorder="1" applyAlignment="1" applyProtection="1">
      <alignment horizontal="left" vertical="center" indent="1"/>
      <protection locked="0"/>
    </xf>
    <xf numFmtId="0" fontId="18" fillId="4" borderId="0" xfId="0" applyFont="1" applyFill="1" applyBorder="1" applyAlignment="1" applyProtection="1">
      <alignment horizontal="left" vertical="center" inden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7" fillId="0" borderId="11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18" xfId="0" applyFont="1" applyBorder="1" applyAlignment="1" applyProtection="1">
      <alignment horizontal="center" vertical="top"/>
      <protection hidden="1"/>
    </xf>
    <xf numFmtId="0" fontId="6" fillId="0" borderId="22" xfId="0" applyFont="1" applyFill="1" applyBorder="1" applyAlignment="1" applyProtection="1">
      <alignment horizontal="left" vertical="top" wrapText="1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13" xfId="0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18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left" vertical="top" wrapText="1"/>
      <protection hidden="1"/>
    </xf>
    <xf numFmtId="0" fontId="11" fillId="0" borderId="17" xfId="0" applyFont="1" applyFill="1" applyBorder="1" applyAlignment="1" applyProtection="1">
      <alignment horizontal="left" vertical="top" wrapText="1"/>
      <protection hidden="1"/>
    </xf>
    <xf numFmtId="0" fontId="11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19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1" fillId="0" borderId="13" xfId="0" applyFont="1" applyFill="1" applyBorder="1" applyAlignment="1" applyProtection="1">
      <alignment horizontal="left" vertical="top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14" fontId="7" fillId="0" borderId="11" xfId="0" applyNumberFormat="1" applyFont="1" applyBorder="1" applyAlignment="1" applyProtection="1">
      <alignment horizontal="center" vertical="top" wrapText="1"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14" fontId="7" fillId="0" borderId="18" xfId="0" applyNumberFormat="1" applyFont="1" applyBorder="1" applyAlignment="1" applyProtection="1">
      <alignment horizontal="center" vertical="top" wrapText="1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/>
    </xf>
    <xf numFmtId="0" fontId="23" fillId="0" borderId="18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 locked="0"/>
    </xf>
    <xf numFmtId="0" fontId="23" fillId="0" borderId="18" xfId="0" applyFont="1" applyBorder="1" applyAlignment="1" applyProtection="1">
      <alignment horizontal="center" vertical="center" wrapText="1"/>
      <protection hidden="1" locked="0"/>
    </xf>
    <xf numFmtId="0" fontId="11" fillId="0" borderId="19" xfId="0" applyFont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 applyProtection="1">
      <alignment horizontal="left" vertical="top" wrapText="1"/>
      <protection hidden="1"/>
    </xf>
    <xf numFmtId="0" fontId="11" fillId="0" borderId="21" xfId="0" applyFont="1" applyBorder="1" applyAlignment="1" applyProtection="1">
      <alignment horizontal="left" vertical="top" wrapText="1"/>
      <protection hidden="1"/>
    </xf>
    <xf numFmtId="0" fontId="11" fillId="0" borderId="23" xfId="0" applyFont="1" applyBorder="1" applyAlignment="1" applyProtection="1">
      <alignment horizontal="left" vertical="top" wrapText="1"/>
      <protection hidden="1"/>
    </xf>
    <xf numFmtId="0" fontId="23" fillId="0" borderId="15" xfId="0" applyFont="1" applyBorder="1" applyAlignment="1" applyProtection="1">
      <alignment horizontal="center" vertical="center" wrapText="1"/>
      <protection hidden="1" locked="0"/>
    </xf>
    <xf numFmtId="0" fontId="23" fillId="0" borderId="14" xfId="0" applyFont="1" applyBorder="1" applyAlignment="1" applyProtection="1">
      <alignment horizontal="center" vertical="center" wrapText="1"/>
      <protection hidden="1" locked="0"/>
    </xf>
    <xf numFmtId="0" fontId="23" fillId="0" borderId="17" xfId="0" applyFont="1" applyBorder="1" applyAlignment="1" applyProtection="1">
      <alignment horizontal="center" vertical="center" wrapText="1"/>
      <protection hidden="1" locked="0"/>
    </xf>
    <xf numFmtId="0" fontId="23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2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9" xfId="0" applyFont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top" wrapText="1"/>
      <protection hidden="1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11" fillId="0" borderId="19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11" fillId="0" borderId="23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wrapText="1"/>
      <protection hidden="1"/>
    </xf>
    <xf numFmtId="0" fontId="25" fillId="0" borderId="15" xfId="0" applyFont="1" applyBorder="1" applyAlignment="1" applyProtection="1">
      <alignment/>
      <protection hidden="1"/>
    </xf>
    <xf numFmtId="0" fontId="25" fillId="0" borderId="14" xfId="0" applyFont="1" applyBorder="1" applyAlignment="1" applyProtection="1">
      <alignment/>
      <protection hidden="1"/>
    </xf>
    <xf numFmtId="0" fontId="11" fillId="0" borderId="21" xfId="0" applyFont="1" applyBorder="1" applyAlignment="1" applyProtection="1">
      <alignment horizontal="center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left" vertical="top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18" xfId="0" applyFont="1" applyBorder="1" applyAlignment="1" applyProtection="1">
      <alignment horizontal="left" vertical="top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23" fillId="0" borderId="22" xfId="0" applyFont="1" applyBorder="1" applyAlignment="1" applyProtection="1">
      <alignment horizontal="center" vertical="center" wrapText="1"/>
      <protection hidden="1"/>
    </xf>
    <xf numFmtId="0" fontId="23" fillId="0" borderId="14" xfId="0" applyFont="1" applyBorder="1" applyAlignment="1" applyProtection="1">
      <alignment horizontal="center" vertical="center" wrapText="1"/>
      <protection hidden="1"/>
    </xf>
    <xf numFmtId="0" fontId="23" fillId="0" borderId="21" xfId="0" applyFont="1" applyBorder="1" applyAlignment="1" applyProtection="1">
      <alignment horizontal="center" vertical="center" wrapText="1"/>
      <protection hidden="1"/>
    </xf>
    <xf numFmtId="0" fontId="23" fillId="0" borderId="23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 applyProtection="1">
      <alignment horizontal="left" vertical="top" wrapText="1"/>
      <protection hidden="1"/>
    </xf>
    <xf numFmtId="0" fontId="79" fillId="0" borderId="11" xfId="0" applyFont="1" applyBorder="1" applyAlignment="1" applyProtection="1">
      <alignment horizontal="center" vertical="center" wrapText="1"/>
      <protection hidden="1"/>
    </xf>
    <xf numFmtId="0" fontId="79" fillId="0" borderId="12" xfId="0" applyFont="1" applyBorder="1" applyAlignment="1" applyProtection="1">
      <alignment horizontal="center" vertical="center" wrapText="1"/>
      <protection hidden="1"/>
    </xf>
    <xf numFmtId="0" fontId="79" fillId="0" borderId="18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26" fillId="0" borderId="22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0" fillId="0" borderId="23" xfId="0" applyFont="1" applyBorder="1" applyAlignment="1" applyProtection="1">
      <alignment/>
      <protection hidden="1" locked="0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0" borderId="20" xfId="0" applyFont="1" applyFill="1" applyBorder="1" applyAlignment="1" applyProtection="1">
      <alignment horizontal="center" vertical="top" wrapText="1"/>
      <protection hidden="1"/>
    </xf>
    <xf numFmtId="0" fontId="11" fillId="0" borderId="25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wrapText="1"/>
      <protection hidden="1"/>
    </xf>
    <xf numFmtId="0" fontId="11" fillId="0" borderId="23" xfId="0" applyFont="1" applyBorder="1" applyAlignment="1" applyProtection="1">
      <alignment horizontal="center" wrapText="1"/>
      <protection hidden="1"/>
    </xf>
    <xf numFmtId="0" fontId="7" fillId="0" borderId="22" xfId="0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44" fillId="0" borderId="17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8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38" fillId="0" borderId="19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left" vertical="top" wrapText="1"/>
      <protection hidden="1"/>
    </xf>
    <xf numFmtId="0" fontId="38" fillId="0" borderId="13" xfId="0" applyFont="1" applyBorder="1" applyAlignment="1" applyProtection="1">
      <alignment horizontal="left" vertical="top" wrapText="1"/>
      <protection hidden="1"/>
    </xf>
    <xf numFmtId="0" fontId="11" fillId="0" borderId="17" xfId="0" applyFont="1" applyBorder="1" applyAlignment="1" applyProtection="1">
      <alignment horizontal="left" vertical="top" wrapText="1"/>
      <protection hidden="1"/>
    </xf>
    <xf numFmtId="0" fontId="26" fillId="0" borderId="14" xfId="0" applyFont="1" applyBorder="1" applyAlignment="1" applyProtection="1">
      <alignment horizontal="center" vertical="center"/>
      <protection hidden="1" locked="0"/>
    </xf>
    <xf numFmtId="0" fontId="26" fillId="0" borderId="21" xfId="0" applyFont="1" applyBorder="1" applyAlignment="1" applyProtection="1">
      <alignment horizontal="center" vertical="center"/>
      <protection hidden="1" locked="0"/>
    </xf>
    <xf numFmtId="0" fontId="26" fillId="0" borderId="23" xfId="0" applyFont="1" applyBorder="1" applyAlignment="1" applyProtection="1">
      <alignment horizontal="center" vertical="center"/>
      <protection hidden="1" locked="0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7" fillId="0" borderId="25" xfId="0" applyFont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3" fontId="6" fillId="0" borderId="22" xfId="0" applyNumberFormat="1" applyFont="1" applyBorder="1" applyAlignment="1" applyProtection="1">
      <alignment horizontal="left" vertical="top" wrapText="1"/>
      <protection/>
    </xf>
    <xf numFmtId="3" fontId="6" fillId="0" borderId="15" xfId="0" applyNumberFormat="1" applyFont="1" applyBorder="1" applyAlignment="1" applyProtection="1">
      <alignment horizontal="left" vertical="top" wrapText="1"/>
      <protection/>
    </xf>
    <xf numFmtId="3" fontId="6" fillId="0" borderId="14" xfId="0" applyNumberFormat="1" applyFont="1" applyBorder="1" applyAlignment="1" applyProtection="1">
      <alignment horizontal="left" vertical="top" wrapText="1"/>
      <protection/>
    </xf>
    <xf numFmtId="3" fontId="6" fillId="0" borderId="19" xfId="0" applyNumberFormat="1" applyFont="1" applyBorder="1" applyAlignment="1" applyProtection="1">
      <alignment horizontal="left" vertical="top" wrapText="1"/>
      <protection/>
    </xf>
    <xf numFmtId="3" fontId="6" fillId="0" borderId="0" xfId="0" applyNumberFormat="1" applyFont="1" applyBorder="1" applyAlignment="1" applyProtection="1">
      <alignment horizontal="left" vertical="top" wrapText="1"/>
      <protection/>
    </xf>
    <xf numFmtId="3" fontId="6" fillId="0" borderId="13" xfId="0" applyNumberFormat="1" applyFont="1" applyBorder="1" applyAlignment="1" applyProtection="1">
      <alignment horizontal="left" vertical="top" wrapText="1"/>
      <protection/>
    </xf>
    <xf numFmtId="3" fontId="6" fillId="0" borderId="21" xfId="0" applyNumberFormat="1" applyFont="1" applyBorder="1" applyAlignment="1" applyProtection="1">
      <alignment horizontal="left" vertical="top" wrapText="1"/>
      <protection/>
    </xf>
    <xf numFmtId="3" fontId="6" fillId="0" borderId="17" xfId="0" applyNumberFormat="1" applyFont="1" applyBorder="1" applyAlignment="1" applyProtection="1">
      <alignment horizontal="left" vertical="top" wrapText="1"/>
      <protection/>
    </xf>
    <xf numFmtId="3" fontId="6" fillId="0" borderId="23" xfId="0" applyNumberFormat="1" applyFont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9" xfId="0" applyFont="1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83" fillId="0" borderId="0" xfId="0" applyFont="1" applyBorder="1" applyAlignment="1" applyProtection="1">
      <alignment horizontal="justify" vertical="top" wrapText="1"/>
      <protection hidden="1"/>
    </xf>
    <xf numFmtId="0" fontId="83" fillId="0" borderId="0" xfId="0" applyFont="1" applyAlignment="1" applyProtection="1">
      <alignment horizontal="justify" vertical="top" wrapText="1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 quotePrefix="1">
      <alignment horizontal="center" vertical="top" wrapText="1"/>
      <protection hidden="1"/>
    </xf>
    <xf numFmtId="0" fontId="9" fillId="0" borderId="25" xfId="0" applyFont="1" applyBorder="1" applyAlignment="1" applyProtection="1">
      <alignment horizontal="center" vertical="top" wrapText="1"/>
      <protection hidden="1"/>
    </xf>
    <xf numFmtId="0" fontId="9" fillId="0" borderId="16" xfId="0" applyFont="1" applyBorder="1" applyAlignment="1" applyProtection="1">
      <alignment horizontal="center" vertical="top" wrapText="1"/>
      <protection hidden="1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 applyProtection="1">
      <alignment horizontal="center" vertical="center" wrapText="1"/>
      <protection hidden="1" locked="0"/>
    </xf>
    <xf numFmtId="0" fontId="26" fillId="0" borderId="18" xfId="0" applyFont="1" applyBorder="1" applyAlignment="1" applyProtection="1">
      <alignment horizontal="center" vertical="center" wrapText="1"/>
      <protection hidden="1" locked="0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horizontal="left" vertical="top" wrapText="1"/>
      <protection hidden="1"/>
    </xf>
    <xf numFmtId="0" fontId="55" fillId="0" borderId="0" xfId="42" applyFont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left" vertical="top" wrapText="1" indent="3"/>
      <protection hidden="1"/>
    </xf>
    <xf numFmtId="0" fontId="15" fillId="0" borderId="13" xfId="0" applyFont="1" applyBorder="1" applyAlignment="1" applyProtection="1">
      <alignment horizontal="left" vertical="top" wrapText="1" indent="3"/>
      <protection hidden="1"/>
    </xf>
    <xf numFmtId="0" fontId="15" fillId="0" borderId="21" xfId="0" applyFont="1" applyBorder="1" applyAlignment="1" applyProtection="1">
      <alignment horizontal="left" vertical="top" wrapText="1" indent="3"/>
      <protection hidden="1"/>
    </xf>
    <xf numFmtId="0" fontId="15" fillId="0" borderId="23" xfId="0" applyFont="1" applyBorder="1" applyAlignment="1" applyProtection="1">
      <alignment horizontal="left" vertical="top" wrapText="1" indent="3"/>
      <protection hidden="1"/>
    </xf>
    <xf numFmtId="0" fontId="23" fillId="0" borderId="12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23" fillId="0" borderId="12" xfId="0" applyFont="1" applyBorder="1" applyAlignment="1" applyProtection="1">
      <alignment horizontal="center" vertical="center"/>
      <protection hidden="1" locked="0"/>
    </xf>
    <xf numFmtId="0" fontId="23" fillId="0" borderId="18" xfId="0" applyFont="1" applyBorder="1" applyAlignment="1" applyProtection="1">
      <alignment horizontal="center" vertical="center"/>
      <protection hidden="1" locked="0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13" xfId="0" applyFont="1" applyBorder="1" applyAlignment="1" applyProtection="1">
      <alignment horizontal="center" vertical="center"/>
      <protection hidden="1" locked="0"/>
    </xf>
    <xf numFmtId="0" fontId="23" fillId="0" borderId="21" xfId="0" applyFont="1" applyBorder="1" applyAlignment="1" applyProtection="1">
      <alignment horizontal="center" vertical="center"/>
      <protection hidden="1" locked="0"/>
    </xf>
    <xf numFmtId="0" fontId="23" fillId="0" borderId="23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left" vertical="top" wrapText="1" indent="3"/>
      <protection hidden="1"/>
    </xf>
    <xf numFmtId="0" fontId="7" fillId="0" borderId="20" xfId="0" applyFont="1" applyBorder="1" applyAlignment="1" applyProtection="1">
      <alignment horizontal="left" vertical="top" wrapText="1" indent="3"/>
      <protection hidden="1"/>
    </xf>
    <xf numFmtId="0" fontId="7" fillId="0" borderId="25" xfId="0" applyFont="1" applyBorder="1" applyAlignment="1" applyProtection="1">
      <alignment horizontal="left" vertical="top" wrapText="1" indent="3"/>
      <protection hidden="1"/>
    </xf>
    <xf numFmtId="0" fontId="7" fillId="0" borderId="0" xfId="0" applyFont="1" applyAlignment="1" applyProtection="1">
      <alignment horizontal="left" wrapText="1" indent="1"/>
      <protection hidden="1"/>
    </xf>
    <xf numFmtId="0" fontId="26" fillId="0" borderId="11" xfId="0" applyFont="1" applyBorder="1" applyAlignment="1" applyProtection="1">
      <alignment horizontal="center" vertical="center"/>
      <protection hidden="1" locked="0"/>
    </xf>
    <xf numFmtId="0" fontId="26" fillId="0" borderId="18" xfId="0" applyFont="1" applyBorder="1" applyAlignment="1" applyProtection="1">
      <alignment horizontal="center" vertical="center"/>
      <protection hidden="1" locked="0"/>
    </xf>
    <xf numFmtId="0" fontId="9" fillId="0" borderId="20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indent="1"/>
      <protection hidden="1"/>
    </xf>
    <xf numFmtId="0" fontId="18" fillId="0" borderId="0" xfId="0" applyFont="1" applyBorder="1" applyAlignment="1" applyProtection="1">
      <alignment horizontal="left" vertical="top" wrapText="1" indent="1"/>
      <protection hidden="1"/>
    </xf>
    <xf numFmtId="0" fontId="111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left" indent="4"/>
      <protection hidden="1"/>
    </xf>
    <xf numFmtId="0" fontId="42" fillId="0" borderId="0" xfId="0" applyFont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horizontal="center" vertical="top"/>
      <protection hidden="1"/>
    </xf>
    <xf numFmtId="0" fontId="18" fillId="0" borderId="17" xfId="0" applyFont="1" applyBorder="1" applyAlignment="1" applyProtection="1">
      <alignment horizontal="left" vertical="top" indent="1"/>
      <protection hidden="1"/>
    </xf>
    <xf numFmtId="0" fontId="42" fillId="0" borderId="20" xfId="0" applyFont="1" applyFill="1" applyBorder="1" applyAlignment="1" applyProtection="1">
      <alignment horizontal="left" vertical="top" indent="1"/>
      <protection hidden="1"/>
    </xf>
    <xf numFmtId="0" fontId="18" fillId="0" borderId="17" xfId="0" applyFont="1" applyBorder="1" applyAlignment="1" applyProtection="1">
      <alignment horizontal="right" vertical="top" inden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2" fillId="0" borderId="17" xfId="0" applyFont="1" applyFill="1" applyBorder="1" applyAlignment="1" applyProtection="1">
      <alignment horizontal="left" vertical="top" indent="1"/>
      <protection hidden="1"/>
    </xf>
    <xf numFmtId="0" fontId="38" fillId="0" borderId="19" xfId="0" applyFont="1" applyFill="1" applyBorder="1" applyAlignment="1" applyProtection="1">
      <alignment horizontal="left" wrapText="1"/>
      <protection hidden="1"/>
    </xf>
    <xf numFmtId="0" fontId="38" fillId="0" borderId="13" xfId="0" applyFont="1" applyFill="1" applyBorder="1" applyAlignment="1" applyProtection="1">
      <alignment horizontal="left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17" fontId="23" fillId="0" borderId="0" xfId="0" applyNumberFormat="1" applyFont="1" applyBorder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right"/>
      <protection hidden="1"/>
    </xf>
    <xf numFmtId="0" fontId="18" fillId="0" borderId="17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98" fillId="32" borderId="2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24" fillId="0" borderId="15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left" vertical="top"/>
      <protection hidden="1"/>
    </xf>
    <xf numFmtId="0" fontId="7" fillId="0" borderId="12" xfId="0" applyFont="1" applyFill="1" applyBorder="1" applyAlignment="1" applyProtection="1">
      <alignment horizontal="left" vertical="top"/>
      <protection hidden="1"/>
    </xf>
    <xf numFmtId="0" fontId="7" fillId="0" borderId="18" xfId="0" applyFont="1" applyFill="1" applyBorder="1" applyAlignment="1" applyProtection="1">
      <alignment horizontal="left" vertical="top"/>
      <protection hidden="1"/>
    </xf>
    <xf numFmtId="0" fontId="38" fillId="0" borderId="19" xfId="0" applyFont="1" applyBorder="1" applyAlignment="1" applyProtection="1">
      <alignment horizontal="left" wrapText="1"/>
      <protection hidden="1"/>
    </xf>
    <xf numFmtId="0" fontId="11" fillId="0" borderId="13" xfId="0" applyFont="1" applyBorder="1" applyAlignment="1" applyProtection="1">
      <alignment horizontal="left" wrapText="1"/>
      <protection hidden="1"/>
    </xf>
    <xf numFmtId="0" fontId="7" fillId="0" borderId="11" xfId="0" applyFont="1" applyFill="1" applyBorder="1" applyAlignment="1" applyProtection="1">
      <alignment horizontal="center" vertical="top"/>
      <protection hidden="1"/>
    </xf>
    <xf numFmtId="0" fontId="7" fillId="0" borderId="12" xfId="0" applyFont="1" applyFill="1" applyBorder="1" applyAlignment="1" applyProtection="1">
      <alignment horizontal="center" vertical="top"/>
      <protection hidden="1"/>
    </xf>
    <xf numFmtId="0" fontId="7" fillId="0" borderId="18" xfId="0" applyFont="1" applyFill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hidden="1" locked="0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2" xfId="0" applyFont="1" applyBorder="1" applyAlignment="1" applyProtection="1">
      <alignment horizontal="left" vertical="top" wrapText="1"/>
      <protection hidden="1"/>
    </xf>
    <xf numFmtId="0" fontId="9" fillId="0" borderId="22" xfId="0" applyFont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9" fillId="0" borderId="14" xfId="0" applyFont="1" applyBorder="1" applyAlignment="1" applyProtection="1">
      <alignment horizontal="center" vertical="top" wrapText="1"/>
      <protection hidden="1"/>
    </xf>
    <xf numFmtId="0" fontId="17" fillId="33" borderId="20" xfId="42" applyFill="1" applyBorder="1" applyAlignment="1" applyProtection="1">
      <alignment horizontal="left" vertical="top"/>
      <protection hidden="1"/>
    </xf>
    <xf numFmtId="0" fontId="54" fillId="4" borderId="0" xfId="0" applyFont="1" applyFill="1" applyBorder="1" applyAlignment="1" applyProtection="1">
      <alignment horizontal="center" vertical="center" wrapText="1"/>
      <protection hidden="1"/>
    </xf>
    <xf numFmtId="0" fontId="17" fillId="33" borderId="17" xfId="42" applyFill="1" applyBorder="1" applyAlignment="1" applyProtection="1">
      <alignment horizontal="left" vertical="top"/>
      <protection hidden="1"/>
    </xf>
    <xf numFmtId="0" fontId="60" fillId="0" borderId="0" xfId="0" applyFont="1" applyAlignment="1" applyProtection="1">
      <alignment horizontal="left" vertical="top" wrapText="1"/>
      <protection hidden="1"/>
    </xf>
    <xf numFmtId="0" fontId="17" fillId="33" borderId="20" xfId="42" applyFill="1" applyBorder="1" applyAlignment="1" applyProtection="1">
      <alignment horizontal="center"/>
      <protection hidden="1"/>
    </xf>
    <xf numFmtId="0" fontId="55" fillId="33" borderId="26" xfId="42" applyFont="1" applyFill="1" applyBorder="1" applyAlignment="1" applyProtection="1">
      <alignment horizontal="center" vertical="top" wrapText="1"/>
      <protection hidden="1"/>
    </xf>
    <xf numFmtId="0" fontId="55" fillId="33" borderId="28" xfId="42" applyFont="1" applyFill="1" applyBorder="1" applyAlignment="1" applyProtection="1">
      <alignment horizontal="center" vertical="top" wrapText="1"/>
      <protection hidden="1"/>
    </xf>
    <xf numFmtId="0" fontId="55" fillId="33" borderId="27" xfId="42" applyFont="1" applyFill="1" applyBorder="1" applyAlignment="1" applyProtection="1">
      <alignment horizontal="center" vertical="top" wrapText="1"/>
      <protection hidden="1"/>
    </xf>
    <xf numFmtId="0" fontId="5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left" vertical="center" wrapText="1" indent="1"/>
      <protection hidden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2" fillId="0" borderId="0" xfId="0" applyFont="1" applyBorder="1" applyAlignment="1" applyProtection="1">
      <alignment horizontal="left" vertical="center" wrapText="1" indent="1"/>
      <protection hidden="1"/>
    </xf>
    <xf numFmtId="0" fontId="22" fillId="0" borderId="17" xfId="0" applyFont="1" applyBorder="1" applyAlignment="1" applyProtection="1">
      <alignment horizontal="left" vertical="center" wrapText="1" indent="1"/>
      <protection hidden="1"/>
    </xf>
    <xf numFmtId="0" fontId="38" fillId="0" borderId="21" xfId="0" applyFont="1" applyBorder="1" applyAlignment="1" applyProtection="1">
      <alignment horizontal="left" vertical="top" wrapText="1"/>
      <protection hidden="1"/>
    </xf>
    <xf numFmtId="0" fontId="38" fillId="0" borderId="17" xfId="0" applyFont="1" applyBorder="1" applyAlignment="1" applyProtection="1">
      <alignment horizontal="left" vertical="top" wrapText="1"/>
      <protection hidden="1"/>
    </xf>
    <xf numFmtId="0" fontId="38" fillId="0" borderId="23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3" fontId="6" fillId="0" borderId="22" xfId="0" applyNumberFormat="1" applyFont="1" applyBorder="1" applyAlignment="1" applyProtection="1">
      <alignment horizontal="left" vertical="top" wrapText="1"/>
      <protection locked="0"/>
    </xf>
    <xf numFmtId="3" fontId="6" fillId="0" borderId="15" xfId="0" applyNumberFormat="1" applyFont="1" applyBorder="1" applyAlignment="1" applyProtection="1">
      <alignment horizontal="left" vertical="top" wrapText="1"/>
      <protection locked="0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3" fontId="6" fillId="0" borderId="19" xfId="0" applyNumberFormat="1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left" vertical="top" wrapText="1"/>
      <protection locked="0"/>
    </xf>
    <xf numFmtId="3" fontId="6" fillId="0" borderId="13" xfId="0" applyNumberFormat="1" applyFont="1" applyBorder="1" applyAlignment="1" applyProtection="1">
      <alignment horizontal="left" vertical="top" wrapText="1"/>
      <protection locked="0"/>
    </xf>
    <xf numFmtId="3" fontId="6" fillId="0" borderId="21" xfId="0" applyNumberFormat="1" applyFont="1" applyBorder="1" applyAlignment="1" applyProtection="1">
      <alignment horizontal="left" vertical="top" wrapText="1"/>
      <protection locked="0"/>
    </xf>
    <xf numFmtId="3" fontId="6" fillId="0" borderId="17" xfId="0" applyNumberFormat="1" applyFont="1" applyBorder="1" applyAlignment="1" applyProtection="1">
      <alignment horizontal="left" vertical="top" wrapText="1"/>
      <protection locked="0"/>
    </xf>
    <xf numFmtId="3" fontId="6" fillId="0" borderId="23" xfId="0" applyNumberFormat="1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17" xfId="0" applyFont="1" applyBorder="1" applyAlignment="1" applyProtection="1">
      <alignment horizontal="center" vertical="top"/>
      <protection hidden="1"/>
    </xf>
    <xf numFmtId="0" fontId="11" fillId="0" borderId="23" xfId="0" applyFont="1" applyBorder="1" applyAlignment="1" applyProtection="1">
      <alignment horizontal="center" vertical="top"/>
      <protection hidden="1"/>
    </xf>
    <xf numFmtId="0" fontId="15" fillId="0" borderId="12" xfId="0" applyFont="1" applyFill="1" applyBorder="1" applyAlignment="1" applyProtection="1">
      <alignment horizontal="center" vertical="top" wrapText="1"/>
      <protection hidden="1"/>
    </xf>
    <xf numFmtId="0" fontId="4" fillId="0" borderId="22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23" fillId="0" borderId="11" xfId="0" applyFont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center" vertical="center"/>
      <protection hidden="1" locked="0"/>
    </xf>
    <xf numFmtId="0" fontId="0" fillId="32" borderId="11" xfId="0" applyFill="1" applyBorder="1" applyAlignment="1" applyProtection="1">
      <alignment horizontal="center" vertical="center"/>
      <protection hidden="1"/>
    </xf>
    <xf numFmtId="0" fontId="0" fillId="32" borderId="12" xfId="0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0" fillId="32" borderId="18" xfId="0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top" indent="2"/>
      <protection hidden="1"/>
    </xf>
    <xf numFmtId="0" fontId="4" fillId="0" borderId="19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13" xfId="0" applyFont="1" applyBorder="1" applyAlignment="1" applyProtection="1">
      <alignment horizontal="center" wrapText="1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2" fillId="0" borderId="25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3" fontId="11" fillId="0" borderId="0" xfId="0" applyNumberFormat="1" applyFont="1" applyAlignment="1" applyProtection="1">
      <alignment horizontal="left" vertical="top" wrapText="1" indent="2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42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7" fillId="0" borderId="0" xfId="0" applyFont="1" applyAlignment="1" applyProtection="1">
      <alignment horizontal="left" vertical="top" indent="1"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110" fillId="0" borderId="0" xfId="0" applyFont="1" applyBorder="1" applyAlignment="1" applyProtection="1">
      <alignment horizontal="left" vertical="top" wrapText="1"/>
      <protection hidden="1"/>
    </xf>
    <xf numFmtId="189" fontId="18" fillId="0" borderId="17" xfId="0" applyNumberFormat="1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6" fillId="0" borderId="21" xfId="0" applyFont="1" applyFill="1" applyBorder="1" applyAlignment="1" applyProtection="1">
      <alignment horizontal="left" vertical="top" wrapText="1"/>
      <protection hidden="1"/>
    </xf>
    <xf numFmtId="0" fontId="6" fillId="0" borderId="17" xfId="0" applyFont="1" applyFill="1" applyBorder="1" applyAlignment="1" applyProtection="1">
      <alignment horizontal="left" vertical="top" wrapText="1"/>
      <protection hidden="1"/>
    </xf>
    <xf numFmtId="0" fontId="6" fillId="0" borderId="23" xfId="0" applyFont="1" applyFill="1" applyBorder="1" applyAlignment="1" applyProtection="1">
      <alignment horizontal="left" vertical="top" wrapText="1"/>
      <protection hidden="1"/>
    </xf>
    <xf numFmtId="0" fontId="38" fillId="0" borderId="19" xfId="0" applyFont="1" applyFill="1" applyBorder="1" applyAlignment="1" applyProtection="1">
      <alignment horizontal="left" vertical="top" wrapText="1"/>
      <protection hidden="1"/>
    </xf>
    <xf numFmtId="0" fontId="38" fillId="0" borderId="0" xfId="0" applyFont="1" applyFill="1" applyBorder="1" applyAlignment="1" applyProtection="1">
      <alignment horizontal="left" vertical="top" wrapText="1"/>
      <protection hidden="1"/>
    </xf>
    <xf numFmtId="0" fontId="38" fillId="0" borderId="13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3" fontId="11" fillId="0" borderId="0" xfId="0" applyNumberFormat="1" applyFont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4" borderId="0" xfId="0" applyFill="1" applyAlignment="1" applyProtection="1">
      <alignment/>
      <protection hidden="1"/>
    </xf>
    <xf numFmtId="0" fontId="155" fillId="45" borderId="0" xfId="0" applyFont="1" applyFill="1" applyAlignment="1">
      <alignment/>
    </xf>
    <xf numFmtId="0" fontId="155" fillId="25" borderId="0" xfId="0" applyFont="1" applyFill="1" applyAlignment="1">
      <alignment/>
    </xf>
    <xf numFmtId="0" fontId="155" fillId="30" borderId="0" xfId="0" applyFont="1" applyFill="1" applyAlignment="1">
      <alignment/>
    </xf>
    <xf numFmtId="0" fontId="156" fillId="45" borderId="0" xfId="0" applyFont="1" applyFill="1" applyAlignment="1">
      <alignment/>
    </xf>
    <xf numFmtId="0" fontId="135" fillId="0" borderId="0" xfId="0" applyFont="1" applyAlignment="1">
      <alignment/>
    </xf>
    <xf numFmtId="0" fontId="43" fillId="43" borderId="0" xfId="0" applyFont="1" applyFill="1" applyAlignment="1">
      <alignment/>
    </xf>
    <xf numFmtId="0" fontId="43" fillId="43" borderId="0" xfId="0" applyFont="1" applyFill="1" applyAlignment="1">
      <alignment horizontal="right"/>
    </xf>
    <xf numFmtId="0" fontId="156" fillId="25" borderId="0" xfId="0" applyFont="1" applyFill="1" applyAlignment="1">
      <alignment/>
    </xf>
    <xf numFmtId="0" fontId="117" fillId="45" borderId="0" xfId="0" applyFont="1" applyFill="1" applyAlignment="1">
      <alignment/>
    </xf>
    <xf numFmtId="0" fontId="157" fillId="25" borderId="0" xfId="0" applyFont="1" applyFill="1" applyAlignment="1">
      <alignment/>
    </xf>
    <xf numFmtId="0" fontId="157" fillId="45" borderId="0" xfId="0" applyFont="1" applyFill="1" applyAlignment="1">
      <alignment/>
    </xf>
    <xf numFmtId="0" fontId="156" fillId="30" borderId="0" xfId="0" applyFont="1" applyFill="1" applyAlignment="1">
      <alignment/>
    </xf>
    <xf numFmtId="0" fontId="155" fillId="46" borderId="0" xfId="0" applyFont="1" applyFill="1" applyAlignment="1">
      <alignment/>
    </xf>
    <xf numFmtId="0" fontId="117" fillId="46" borderId="0" xfId="0" applyFont="1" applyFill="1" applyAlignment="1">
      <alignment/>
    </xf>
    <xf numFmtId="0" fontId="158" fillId="25" borderId="0" xfId="0" applyFont="1" applyFill="1" applyAlignment="1">
      <alignment/>
    </xf>
    <xf numFmtId="0" fontId="158" fillId="45" borderId="0" xfId="0" applyFont="1" applyFill="1" applyAlignment="1">
      <alignment/>
    </xf>
    <xf numFmtId="0" fontId="4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border>
        <bottom style="thin"/>
      </border>
    </dxf>
    <dxf>
      <font>
        <strike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border>
        <bottom style="thin"/>
      </border>
    </dxf>
    <dxf>
      <font>
        <b/>
        <i val="0"/>
        <color indexed="12"/>
      </font>
      <fill>
        <patternFill>
          <bgColor indexed="42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rgb="FFC00000"/>
      </font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C00000"/>
      </font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CC"/>
        </patternFill>
      </fill>
      <border/>
    </dxf>
    <dxf>
      <border>
        <bottom style="thin">
          <color rgb="FF000000"/>
        </bottom>
      </border>
    </dxf>
    <dxf>
      <font>
        <b/>
        <i val="0"/>
      </font>
      <border/>
    </dxf>
    <dxf>
      <font>
        <b/>
        <i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8</xdr:col>
      <xdr:colOff>885825</xdr:colOff>
      <xdr:row>42</xdr:row>
      <xdr:rowOff>0</xdr:rowOff>
    </xdr:to>
    <xdr:sp>
      <xdr:nvSpPr>
        <xdr:cNvPr id="1" name="Line 54"/>
        <xdr:cNvSpPr>
          <a:spLocks/>
        </xdr:cNvSpPr>
      </xdr:nvSpPr>
      <xdr:spPr>
        <a:xfrm>
          <a:off x="1209675" y="1562100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952500</xdr:colOff>
      <xdr:row>460</xdr:row>
      <xdr:rowOff>0</xdr:rowOff>
    </xdr:from>
    <xdr:to>
      <xdr:col>6</xdr:col>
      <xdr:colOff>800100</xdr:colOff>
      <xdr:row>460</xdr:row>
      <xdr:rowOff>0</xdr:rowOff>
    </xdr:to>
    <xdr:sp>
      <xdr:nvSpPr>
        <xdr:cNvPr id="2" name="Line 116"/>
        <xdr:cNvSpPr>
          <a:spLocks/>
        </xdr:cNvSpPr>
      </xdr:nvSpPr>
      <xdr:spPr>
        <a:xfrm>
          <a:off x="2162175" y="78590775"/>
          <a:ext cx="3495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876300</xdr:colOff>
      <xdr:row>460</xdr:row>
      <xdr:rowOff>0</xdr:rowOff>
    </xdr:from>
    <xdr:to>
      <xdr:col>8</xdr:col>
      <xdr:colOff>523875</xdr:colOff>
      <xdr:row>460</xdr:row>
      <xdr:rowOff>0</xdr:rowOff>
    </xdr:to>
    <xdr:sp>
      <xdr:nvSpPr>
        <xdr:cNvPr id="3" name="Line 117"/>
        <xdr:cNvSpPr>
          <a:spLocks/>
        </xdr:cNvSpPr>
      </xdr:nvSpPr>
      <xdr:spPr>
        <a:xfrm>
          <a:off x="5734050" y="78590775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461</xdr:row>
      <xdr:rowOff>0</xdr:rowOff>
    </xdr:from>
    <xdr:to>
      <xdr:col>5</xdr:col>
      <xdr:colOff>847725</xdr:colOff>
      <xdr:row>461</xdr:row>
      <xdr:rowOff>0</xdr:rowOff>
    </xdr:to>
    <xdr:sp>
      <xdr:nvSpPr>
        <xdr:cNvPr id="4" name="Line 118"/>
        <xdr:cNvSpPr>
          <a:spLocks/>
        </xdr:cNvSpPr>
      </xdr:nvSpPr>
      <xdr:spPr>
        <a:xfrm>
          <a:off x="3543300" y="78781275"/>
          <a:ext cx="1257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480</xdr:row>
      <xdr:rowOff>9525</xdr:rowOff>
    </xdr:from>
    <xdr:to>
      <xdr:col>8</xdr:col>
      <xdr:colOff>876300</xdr:colOff>
      <xdr:row>480</xdr:row>
      <xdr:rowOff>9525</xdr:rowOff>
    </xdr:to>
    <xdr:sp>
      <xdr:nvSpPr>
        <xdr:cNvPr id="5" name="Line 120"/>
        <xdr:cNvSpPr>
          <a:spLocks/>
        </xdr:cNvSpPr>
      </xdr:nvSpPr>
      <xdr:spPr>
        <a:xfrm>
          <a:off x="66675" y="79343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479</xdr:row>
      <xdr:rowOff>9525</xdr:rowOff>
    </xdr:from>
    <xdr:to>
      <xdr:col>8</xdr:col>
      <xdr:colOff>876300</xdr:colOff>
      <xdr:row>479</xdr:row>
      <xdr:rowOff>9525</xdr:rowOff>
    </xdr:to>
    <xdr:sp>
      <xdr:nvSpPr>
        <xdr:cNvPr id="6" name="Line 121"/>
        <xdr:cNvSpPr>
          <a:spLocks/>
        </xdr:cNvSpPr>
      </xdr:nvSpPr>
      <xdr:spPr>
        <a:xfrm>
          <a:off x="66675" y="79152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475</xdr:row>
      <xdr:rowOff>180975</xdr:rowOff>
    </xdr:from>
    <xdr:to>
      <xdr:col>4</xdr:col>
      <xdr:colOff>581025</xdr:colOff>
      <xdr:row>475</xdr:row>
      <xdr:rowOff>180975</xdr:rowOff>
    </xdr:to>
    <xdr:sp>
      <xdr:nvSpPr>
        <xdr:cNvPr id="7" name="Line 124"/>
        <xdr:cNvSpPr>
          <a:spLocks/>
        </xdr:cNvSpPr>
      </xdr:nvSpPr>
      <xdr:spPr>
        <a:xfrm>
          <a:off x="2352675" y="787812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475</xdr:row>
      <xdr:rowOff>180975</xdr:rowOff>
    </xdr:from>
    <xdr:to>
      <xdr:col>8</xdr:col>
      <xdr:colOff>876300</xdr:colOff>
      <xdr:row>475</xdr:row>
      <xdr:rowOff>180975</xdr:rowOff>
    </xdr:to>
    <xdr:sp>
      <xdr:nvSpPr>
        <xdr:cNvPr id="8" name="Line 125"/>
        <xdr:cNvSpPr>
          <a:spLocks/>
        </xdr:cNvSpPr>
      </xdr:nvSpPr>
      <xdr:spPr>
        <a:xfrm>
          <a:off x="3952875" y="78781275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465</xdr:row>
      <xdr:rowOff>0</xdr:rowOff>
    </xdr:from>
    <xdr:to>
      <xdr:col>4</xdr:col>
      <xdr:colOff>466725</xdr:colOff>
      <xdr:row>465</xdr:row>
      <xdr:rowOff>0</xdr:rowOff>
    </xdr:to>
    <xdr:sp>
      <xdr:nvSpPr>
        <xdr:cNvPr id="9" name="Line 545"/>
        <xdr:cNvSpPr>
          <a:spLocks/>
        </xdr:cNvSpPr>
      </xdr:nvSpPr>
      <xdr:spPr>
        <a:xfrm>
          <a:off x="1857375" y="7878127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465</xdr:row>
      <xdr:rowOff>0</xdr:rowOff>
    </xdr:from>
    <xdr:to>
      <xdr:col>8</xdr:col>
      <xdr:colOff>857250</xdr:colOff>
      <xdr:row>465</xdr:row>
      <xdr:rowOff>0</xdr:rowOff>
    </xdr:to>
    <xdr:sp>
      <xdr:nvSpPr>
        <xdr:cNvPr id="10" name="Line 125"/>
        <xdr:cNvSpPr>
          <a:spLocks/>
        </xdr:cNvSpPr>
      </xdr:nvSpPr>
      <xdr:spPr>
        <a:xfrm>
          <a:off x="3981450" y="7878127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466</xdr:row>
      <xdr:rowOff>190500</xdr:rowOff>
    </xdr:from>
    <xdr:to>
      <xdr:col>4</xdr:col>
      <xdr:colOff>466725</xdr:colOff>
      <xdr:row>466</xdr:row>
      <xdr:rowOff>190500</xdr:rowOff>
    </xdr:to>
    <xdr:sp>
      <xdr:nvSpPr>
        <xdr:cNvPr id="11" name="Line 547"/>
        <xdr:cNvSpPr>
          <a:spLocks/>
        </xdr:cNvSpPr>
      </xdr:nvSpPr>
      <xdr:spPr>
        <a:xfrm>
          <a:off x="1857375" y="7878127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466</xdr:row>
      <xdr:rowOff>190500</xdr:rowOff>
    </xdr:from>
    <xdr:to>
      <xdr:col>8</xdr:col>
      <xdr:colOff>857250</xdr:colOff>
      <xdr:row>466</xdr:row>
      <xdr:rowOff>190500</xdr:rowOff>
    </xdr:to>
    <xdr:sp>
      <xdr:nvSpPr>
        <xdr:cNvPr id="12" name="Line 125"/>
        <xdr:cNvSpPr>
          <a:spLocks/>
        </xdr:cNvSpPr>
      </xdr:nvSpPr>
      <xdr:spPr>
        <a:xfrm>
          <a:off x="3981450" y="7878127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468</xdr:row>
      <xdr:rowOff>190500</xdr:rowOff>
    </xdr:from>
    <xdr:to>
      <xdr:col>4</xdr:col>
      <xdr:colOff>466725</xdr:colOff>
      <xdr:row>468</xdr:row>
      <xdr:rowOff>190500</xdr:rowOff>
    </xdr:to>
    <xdr:sp>
      <xdr:nvSpPr>
        <xdr:cNvPr id="13" name="Line 549"/>
        <xdr:cNvSpPr>
          <a:spLocks/>
        </xdr:cNvSpPr>
      </xdr:nvSpPr>
      <xdr:spPr>
        <a:xfrm>
          <a:off x="1857375" y="7878127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468</xdr:row>
      <xdr:rowOff>190500</xdr:rowOff>
    </xdr:from>
    <xdr:to>
      <xdr:col>8</xdr:col>
      <xdr:colOff>857250</xdr:colOff>
      <xdr:row>468</xdr:row>
      <xdr:rowOff>190500</xdr:rowOff>
    </xdr:to>
    <xdr:sp>
      <xdr:nvSpPr>
        <xdr:cNvPr id="14" name="Line 125"/>
        <xdr:cNvSpPr>
          <a:spLocks/>
        </xdr:cNvSpPr>
      </xdr:nvSpPr>
      <xdr:spPr>
        <a:xfrm>
          <a:off x="3981450" y="7878127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43</xdr:row>
      <xdr:rowOff>161925</xdr:rowOff>
    </xdr:from>
    <xdr:to>
      <xdr:col>8</xdr:col>
      <xdr:colOff>885825</xdr:colOff>
      <xdr:row>43</xdr:row>
      <xdr:rowOff>161925</xdr:rowOff>
    </xdr:to>
    <xdr:sp>
      <xdr:nvSpPr>
        <xdr:cNvPr id="15" name="Line 54"/>
        <xdr:cNvSpPr>
          <a:spLocks/>
        </xdr:cNvSpPr>
      </xdr:nvSpPr>
      <xdr:spPr>
        <a:xfrm>
          <a:off x="1209675" y="1885950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481</xdr:row>
      <xdr:rowOff>0</xdr:rowOff>
    </xdr:from>
    <xdr:to>
      <xdr:col>8</xdr:col>
      <xdr:colOff>876300</xdr:colOff>
      <xdr:row>481</xdr:row>
      <xdr:rowOff>0</xdr:rowOff>
    </xdr:to>
    <xdr:sp>
      <xdr:nvSpPr>
        <xdr:cNvPr id="16" name="Line 121"/>
        <xdr:cNvSpPr>
          <a:spLocks/>
        </xdr:cNvSpPr>
      </xdr:nvSpPr>
      <xdr:spPr>
        <a:xfrm>
          <a:off x="66675" y="79343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44</xdr:row>
      <xdr:rowOff>161925</xdr:rowOff>
    </xdr:from>
    <xdr:to>
      <xdr:col>8</xdr:col>
      <xdr:colOff>885825</xdr:colOff>
      <xdr:row>44</xdr:row>
      <xdr:rowOff>161925</xdr:rowOff>
    </xdr:to>
    <xdr:sp>
      <xdr:nvSpPr>
        <xdr:cNvPr id="17" name="Line 54"/>
        <xdr:cNvSpPr>
          <a:spLocks/>
        </xdr:cNvSpPr>
      </xdr:nvSpPr>
      <xdr:spPr>
        <a:xfrm flipV="1">
          <a:off x="1209675" y="2047875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482</xdr:row>
      <xdr:rowOff>0</xdr:rowOff>
    </xdr:from>
    <xdr:to>
      <xdr:col>8</xdr:col>
      <xdr:colOff>885825</xdr:colOff>
      <xdr:row>482</xdr:row>
      <xdr:rowOff>0</xdr:rowOff>
    </xdr:to>
    <xdr:sp>
      <xdr:nvSpPr>
        <xdr:cNvPr id="18" name="Line 121"/>
        <xdr:cNvSpPr>
          <a:spLocks/>
        </xdr:cNvSpPr>
      </xdr:nvSpPr>
      <xdr:spPr>
        <a:xfrm>
          <a:off x="76200" y="79343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8</xdr:col>
      <xdr:colOff>885825</xdr:colOff>
      <xdr:row>44</xdr:row>
      <xdr:rowOff>0</xdr:rowOff>
    </xdr:to>
    <xdr:sp>
      <xdr:nvSpPr>
        <xdr:cNvPr id="19" name="Line 54"/>
        <xdr:cNvSpPr>
          <a:spLocks/>
        </xdr:cNvSpPr>
      </xdr:nvSpPr>
      <xdr:spPr>
        <a:xfrm>
          <a:off x="1209675" y="1885950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0</xdr:rowOff>
    </xdr:from>
    <xdr:to>
      <xdr:col>8</xdr:col>
      <xdr:colOff>885825</xdr:colOff>
      <xdr:row>45</xdr:row>
      <xdr:rowOff>0</xdr:rowOff>
    </xdr:to>
    <xdr:sp>
      <xdr:nvSpPr>
        <xdr:cNvPr id="20" name="Line 54"/>
        <xdr:cNvSpPr>
          <a:spLocks/>
        </xdr:cNvSpPr>
      </xdr:nvSpPr>
      <xdr:spPr>
        <a:xfrm flipV="1">
          <a:off x="1209675" y="2047875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8</xdr:col>
      <xdr:colOff>885825</xdr:colOff>
      <xdr:row>43</xdr:row>
      <xdr:rowOff>0</xdr:rowOff>
    </xdr:to>
    <xdr:sp>
      <xdr:nvSpPr>
        <xdr:cNvPr id="21" name="Line 54"/>
        <xdr:cNvSpPr>
          <a:spLocks/>
        </xdr:cNvSpPr>
      </xdr:nvSpPr>
      <xdr:spPr>
        <a:xfrm>
          <a:off x="1209675" y="1724025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152400</xdr:rowOff>
    </xdr:from>
    <xdr:to>
      <xdr:col>8</xdr:col>
      <xdr:colOff>885825</xdr:colOff>
      <xdr:row>45</xdr:row>
      <xdr:rowOff>152400</xdr:rowOff>
    </xdr:to>
    <xdr:sp>
      <xdr:nvSpPr>
        <xdr:cNvPr id="22" name="Line 54"/>
        <xdr:cNvSpPr>
          <a:spLocks/>
        </xdr:cNvSpPr>
      </xdr:nvSpPr>
      <xdr:spPr>
        <a:xfrm flipV="1">
          <a:off x="1209675" y="2200275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152400</xdr:rowOff>
    </xdr:from>
    <xdr:to>
      <xdr:col>8</xdr:col>
      <xdr:colOff>885825</xdr:colOff>
      <xdr:row>45</xdr:row>
      <xdr:rowOff>152400</xdr:rowOff>
    </xdr:to>
    <xdr:sp>
      <xdr:nvSpPr>
        <xdr:cNvPr id="23" name="Line 54"/>
        <xdr:cNvSpPr>
          <a:spLocks/>
        </xdr:cNvSpPr>
      </xdr:nvSpPr>
      <xdr:spPr>
        <a:xfrm flipV="1">
          <a:off x="1209675" y="2200275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54</xdr:row>
      <xdr:rowOff>0</xdr:rowOff>
    </xdr:from>
    <xdr:to>
      <xdr:col>8</xdr:col>
      <xdr:colOff>895350</xdr:colOff>
      <xdr:row>54</xdr:row>
      <xdr:rowOff>0</xdr:rowOff>
    </xdr:to>
    <xdr:sp>
      <xdr:nvSpPr>
        <xdr:cNvPr id="24" name="Line 120"/>
        <xdr:cNvSpPr>
          <a:spLocks/>
        </xdr:cNvSpPr>
      </xdr:nvSpPr>
      <xdr:spPr>
        <a:xfrm>
          <a:off x="66675" y="3381375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8</xdr:col>
      <xdr:colOff>895350</xdr:colOff>
      <xdr:row>53</xdr:row>
      <xdr:rowOff>0</xdr:rowOff>
    </xdr:to>
    <xdr:sp>
      <xdr:nvSpPr>
        <xdr:cNvPr id="25" name="Line 121"/>
        <xdr:cNvSpPr>
          <a:spLocks/>
        </xdr:cNvSpPr>
      </xdr:nvSpPr>
      <xdr:spPr>
        <a:xfrm>
          <a:off x="66675" y="3219450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8</xdr:col>
      <xdr:colOff>895350</xdr:colOff>
      <xdr:row>55</xdr:row>
      <xdr:rowOff>0</xdr:rowOff>
    </xdr:to>
    <xdr:sp>
      <xdr:nvSpPr>
        <xdr:cNvPr id="26" name="Line 123"/>
        <xdr:cNvSpPr>
          <a:spLocks/>
        </xdr:cNvSpPr>
      </xdr:nvSpPr>
      <xdr:spPr>
        <a:xfrm>
          <a:off x="66675" y="3543300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50</xdr:row>
      <xdr:rowOff>161925</xdr:rowOff>
    </xdr:from>
    <xdr:to>
      <xdr:col>8</xdr:col>
      <xdr:colOff>885825</xdr:colOff>
      <xdr:row>50</xdr:row>
      <xdr:rowOff>161925</xdr:rowOff>
    </xdr:to>
    <xdr:sp>
      <xdr:nvSpPr>
        <xdr:cNvPr id="27" name="Line 54"/>
        <xdr:cNvSpPr>
          <a:spLocks/>
        </xdr:cNvSpPr>
      </xdr:nvSpPr>
      <xdr:spPr>
        <a:xfrm flipV="1">
          <a:off x="1209675" y="3009900"/>
          <a:ext cx="634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0</xdr:rowOff>
    </xdr:from>
    <xdr:to>
      <xdr:col>8</xdr:col>
      <xdr:colOff>895350</xdr:colOff>
      <xdr:row>56</xdr:row>
      <xdr:rowOff>0</xdr:rowOff>
    </xdr:to>
    <xdr:sp>
      <xdr:nvSpPr>
        <xdr:cNvPr id="28" name="Line 120"/>
        <xdr:cNvSpPr>
          <a:spLocks/>
        </xdr:cNvSpPr>
      </xdr:nvSpPr>
      <xdr:spPr>
        <a:xfrm>
          <a:off x="66675" y="3705225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0</xdr:rowOff>
    </xdr:from>
    <xdr:to>
      <xdr:col>8</xdr:col>
      <xdr:colOff>895350</xdr:colOff>
      <xdr:row>62</xdr:row>
      <xdr:rowOff>0</xdr:rowOff>
    </xdr:to>
    <xdr:sp>
      <xdr:nvSpPr>
        <xdr:cNvPr id="29" name="Line 120"/>
        <xdr:cNvSpPr>
          <a:spLocks/>
        </xdr:cNvSpPr>
      </xdr:nvSpPr>
      <xdr:spPr>
        <a:xfrm>
          <a:off x="66675" y="4610100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61</xdr:row>
      <xdr:rowOff>0</xdr:rowOff>
    </xdr:from>
    <xdr:to>
      <xdr:col>8</xdr:col>
      <xdr:colOff>895350</xdr:colOff>
      <xdr:row>61</xdr:row>
      <xdr:rowOff>0</xdr:rowOff>
    </xdr:to>
    <xdr:sp>
      <xdr:nvSpPr>
        <xdr:cNvPr id="30" name="Line 121"/>
        <xdr:cNvSpPr>
          <a:spLocks/>
        </xdr:cNvSpPr>
      </xdr:nvSpPr>
      <xdr:spPr>
        <a:xfrm>
          <a:off x="66675" y="4448175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8</xdr:col>
      <xdr:colOff>895350</xdr:colOff>
      <xdr:row>63</xdr:row>
      <xdr:rowOff>0</xdr:rowOff>
    </xdr:to>
    <xdr:sp>
      <xdr:nvSpPr>
        <xdr:cNvPr id="31" name="Line 123"/>
        <xdr:cNvSpPr>
          <a:spLocks/>
        </xdr:cNvSpPr>
      </xdr:nvSpPr>
      <xdr:spPr>
        <a:xfrm>
          <a:off x="66675" y="4772025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80</xdr:row>
      <xdr:rowOff>0</xdr:rowOff>
    </xdr:from>
    <xdr:to>
      <xdr:col>8</xdr:col>
      <xdr:colOff>895350</xdr:colOff>
      <xdr:row>80</xdr:row>
      <xdr:rowOff>0</xdr:rowOff>
    </xdr:to>
    <xdr:sp>
      <xdr:nvSpPr>
        <xdr:cNvPr id="32" name="Line 120"/>
        <xdr:cNvSpPr>
          <a:spLocks/>
        </xdr:cNvSpPr>
      </xdr:nvSpPr>
      <xdr:spPr>
        <a:xfrm flipV="1">
          <a:off x="1133475" y="7324725"/>
          <a:ext cx="6429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81</xdr:row>
      <xdr:rowOff>0</xdr:rowOff>
    </xdr:from>
    <xdr:to>
      <xdr:col>8</xdr:col>
      <xdr:colOff>895350</xdr:colOff>
      <xdr:row>81</xdr:row>
      <xdr:rowOff>0</xdr:rowOff>
    </xdr:to>
    <xdr:sp>
      <xdr:nvSpPr>
        <xdr:cNvPr id="33" name="Line 123"/>
        <xdr:cNvSpPr>
          <a:spLocks/>
        </xdr:cNvSpPr>
      </xdr:nvSpPr>
      <xdr:spPr>
        <a:xfrm flipV="1">
          <a:off x="1133475" y="7486650"/>
          <a:ext cx="6429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97</xdr:row>
      <xdr:rowOff>180975</xdr:rowOff>
    </xdr:from>
    <xdr:to>
      <xdr:col>4</xdr:col>
      <xdr:colOff>581025</xdr:colOff>
      <xdr:row>97</xdr:row>
      <xdr:rowOff>180975</xdr:rowOff>
    </xdr:to>
    <xdr:sp>
      <xdr:nvSpPr>
        <xdr:cNvPr id="34" name="Line 124"/>
        <xdr:cNvSpPr>
          <a:spLocks/>
        </xdr:cNvSpPr>
      </xdr:nvSpPr>
      <xdr:spPr>
        <a:xfrm>
          <a:off x="2352675" y="987742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97</xdr:row>
      <xdr:rowOff>180975</xdr:rowOff>
    </xdr:from>
    <xdr:to>
      <xdr:col>8</xdr:col>
      <xdr:colOff>876300</xdr:colOff>
      <xdr:row>97</xdr:row>
      <xdr:rowOff>180975</xdr:rowOff>
    </xdr:to>
    <xdr:sp>
      <xdr:nvSpPr>
        <xdr:cNvPr id="35" name="Line 125"/>
        <xdr:cNvSpPr>
          <a:spLocks/>
        </xdr:cNvSpPr>
      </xdr:nvSpPr>
      <xdr:spPr>
        <a:xfrm>
          <a:off x="3952875" y="9877425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85</xdr:row>
      <xdr:rowOff>0</xdr:rowOff>
    </xdr:from>
    <xdr:to>
      <xdr:col>4</xdr:col>
      <xdr:colOff>466725</xdr:colOff>
      <xdr:row>85</xdr:row>
      <xdr:rowOff>0</xdr:rowOff>
    </xdr:to>
    <xdr:sp>
      <xdr:nvSpPr>
        <xdr:cNvPr id="36" name="Line 545"/>
        <xdr:cNvSpPr>
          <a:spLocks/>
        </xdr:cNvSpPr>
      </xdr:nvSpPr>
      <xdr:spPr>
        <a:xfrm>
          <a:off x="1857375" y="791527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85</xdr:row>
      <xdr:rowOff>0</xdr:rowOff>
    </xdr:from>
    <xdr:to>
      <xdr:col>8</xdr:col>
      <xdr:colOff>857250</xdr:colOff>
      <xdr:row>85</xdr:row>
      <xdr:rowOff>0</xdr:rowOff>
    </xdr:to>
    <xdr:sp>
      <xdr:nvSpPr>
        <xdr:cNvPr id="37" name="Line 125"/>
        <xdr:cNvSpPr>
          <a:spLocks/>
        </xdr:cNvSpPr>
      </xdr:nvSpPr>
      <xdr:spPr>
        <a:xfrm>
          <a:off x="3981450" y="7915275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86</xdr:row>
      <xdr:rowOff>190500</xdr:rowOff>
    </xdr:from>
    <xdr:to>
      <xdr:col>4</xdr:col>
      <xdr:colOff>466725</xdr:colOff>
      <xdr:row>86</xdr:row>
      <xdr:rowOff>190500</xdr:rowOff>
    </xdr:to>
    <xdr:sp>
      <xdr:nvSpPr>
        <xdr:cNvPr id="38" name="Line 547"/>
        <xdr:cNvSpPr>
          <a:spLocks/>
        </xdr:cNvSpPr>
      </xdr:nvSpPr>
      <xdr:spPr>
        <a:xfrm>
          <a:off x="1857375" y="8229600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86</xdr:row>
      <xdr:rowOff>190500</xdr:rowOff>
    </xdr:from>
    <xdr:to>
      <xdr:col>8</xdr:col>
      <xdr:colOff>857250</xdr:colOff>
      <xdr:row>86</xdr:row>
      <xdr:rowOff>190500</xdr:rowOff>
    </xdr:to>
    <xdr:sp>
      <xdr:nvSpPr>
        <xdr:cNvPr id="39" name="Line 125"/>
        <xdr:cNvSpPr>
          <a:spLocks/>
        </xdr:cNvSpPr>
      </xdr:nvSpPr>
      <xdr:spPr>
        <a:xfrm>
          <a:off x="3981450" y="8229600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88</xdr:row>
      <xdr:rowOff>190500</xdr:rowOff>
    </xdr:from>
    <xdr:to>
      <xdr:col>4</xdr:col>
      <xdr:colOff>466725</xdr:colOff>
      <xdr:row>88</xdr:row>
      <xdr:rowOff>190500</xdr:rowOff>
    </xdr:to>
    <xdr:sp>
      <xdr:nvSpPr>
        <xdr:cNvPr id="40" name="Line 549"/>
        <xdr:cNvSpPr>
          <a:spLocks/>
        </xdr:cNvSpPr>
      </xdr:nvSpPr>
      <xdr:spPr>
        <a:xfrm>
          <a:off x="1857375" y="8553450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190500</xdr:rowOff>
    </xdr:from>
    <xdr:to>
      <xdr:col>8</xdr:col>
      <xdr:colOff>857250</xdr:colOff>
      <xdr:row>88</xdr:row>
      <xdr:rowOff>190500</xdr:rowOff>
    </xdr:to>
    <xdr:sp>
      <xdr:nvSpPr>
        <xdr:cNvPr id="41" name="Line 125"/>
        <xdr:cNvSpPr>
          <a:spLocks/>
        </xdr:cNvSpPr>
      </xdr:nvSpPr>
      <xdr:spPr>
        <a:xfrm>
          <a:off x="3981450" y="8553450"/>
          <a:ext cx="3543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8</xdr:col>
      <xdr:colOff>838200</xdr:colOff>
      <xdr:row>42</xdr:row>
      <xdr:rowOff>0</xdr:rowOff>
    </xdr:to>
    <xdr:sp>
      <xdr:nvSpPr>
        <xdr:cNvPr id="1" name="Line 54"/>
        <xdr:cNvSpPr>
          <a:spLocks/>
        </xdr:cNvSpPr>
      </xdr:nvSpPr>
      <xdr:spPr>
        <a:xfrm>
          <a:off x="1209675" y="1562100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43</xdr:row>
      <xdr:rowOff>161925</xdr:rowOff>
    </xdr:from>
    <xdr:to>
      <xdr:col>8</xdr:col>
      <xdr:colOff>838200</xdr:colOff>
      <xdr:row>43</xdr:row>
      <xdr:rowOff>161925</xdr:rowOff>
    </xdr:to>
    <xdr:sp>
      <xdr:nvSpPr>
        <xdr:cNvPr id="2" name="Line 54"/>
        <xdr:cNvSpPr>
          <a:spLocks/>
        </xdr:cNvSpPr>
      </xdr:nvSpPr>
      <xdr:spPr>
        <a:xfrm>
          <a:off x="1209675" y="1885950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44</xdr:row>
      <xdr:rowOff>161925</xdr:rowOff>
    </xdr:from>
    <xdr:to>
      <xdr:col>8</xdr:col>
      <xdr:colOff>838200</xdr:colOff>
      <xdr:row>44</xdr:row>
      <xdr:rowOff>161925</xdr:rowOff>
    </xdr:to>
    <xdr:sp>
      <xdr:nvSpPr>
        <xdr:cNvPr id="3" name="Line 54"/>
        <xdr:cNvSpPr>
          <a:spLocks/>
        </xdr:cNvSpPr>
      </xdr:nvSpPr>
      <xdr:spPr>
        <a:xfrm flipV="1">
          <a:off x="1209675" y="2047875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8</xdr:col>
      <xdr:colOff>838200</xdr:colOff>
      <xdr:row>44</xdr:row>
      <xdr:rowOff>0</xdr:rowOff>
    </xdr:to>
    <xdr:sp>
      <xdr:nvSpPr>
        <xdr:cNvPr id="4" name="Line 54"/>
        <xdr:cNvSpPr>
          <a:spLocks/>
        </xdr:cNvSpPr>
      </xdr:nvSpPr>
      <xdr:spPr>
        <a:xfrm>
          <a:off x="1209675" y="1885950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0</xdr:rowOff>
    </xdr:from>
    <xdr:to>
      <xdr:col>8</xdr:col>
      <xdr:colOff>838200</xdr:colOff>
      <xdr:row>45</xdr:row>
      <xdr:rowOff>0</xdr:rowOff>
    </xdr:to>
    <xdr:sp>
      <xdr:nvSpPr>
        <xdr:cNvPr id="5" name="Line 54"/>
        <xdr:cNvSpPr>
          <a:spLocks/>
        </xdr:cNvSpPr>
      </xdr:nvSpPr>
      <xdr:spPr>
        <a:xfrm flipV="1">
          <a:off x="1209675" y="2047875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8</xdr:col>
      <xdr:colOff>838200</xdr:colOff>
      <xdr:row>43</xdr:row>
      <xdr:rowOff>0</xdr:rowOff>
    </xdr:to>
    <xdr:sp>
      <xdr:nvSpPr>
        <xdr:cNvPr id="6" name="Line 54"/>
        <xdr:cNvSpPr>
          <a:spLocks/>
        </xdr:cNvSpPr>
      </xdr:nvSpPr>
      <xdr:spPr>
        <a:xfrm>
          <a:off x="1209675" y="1724025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152400</xdr:rowOff>
    </xdr:from>
    <xdr:to>
      <xdr:col>8</xdr:col>
      <xdr:colOff>838200</xdr:colOff>
      <xdr:row>45</xdr:row>
      <xdr:rowOff>152400</xdr:rowOff>
    </xdr:to>
    <xdr:sp>
      <xdr:nvSpPr>
        <xdr:cNvPr id="7" name="Line 54"/>
        <xdr:cNvSpPr>
          <a:spLocks/>
        </xdr:cNvSpPr>
      </xdr:nvSpPr>
      <xdr:spPr>
        <a:xfrm flipV="1">
          <a:off x="1209675" y="2200275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152400</xdr:rowOff>
    </xdr:from>
    <xdr:to>
      <xdr:col>8</xdr:col>
      <xdr:colOff>838200</xdr:colOff>
      <xdr:row>45</xdr:row>
      <xdr:rowOff>152400</xdr:rowOff>
    </xdr:to>
    <xdr:sp>
      <xdr:nvSpPr>
        <xdr:cNvPr id="8" name="Line 54"/>
        <xdr:cNvSpPr>
          <a:spLocks/>
        </xdr:cNvSpPr>
      </xdr:nvSpPr>
      <xdr:spPr>
        <a:xfrm flipV="1">
          <a:off x="1209675" y="2200275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54</xdr:row>
      <xdr:rowOff>0</xdr:rowOff>
    </xdr:from>
    <xdr:to>
      <xdr:col>8</xdr:col>
      <xdr:colOff>838200</xdr:colOff>
      <xdr:row>54</xdr:row>
      <xdr:rowOff>0</xdr:rowOff>
    </xdr:to>
    <xdr:sp>
      <xdr:nvSpPr>
        <xdr:cNvPr id="9" name="Line 120"/>
        <xdr:cNvSpPr>
          <a:spLocks/>
        </xdr:cNvSpPr>
      </xdr:nvSpPr>
      <xdr:spPr>
        <a:xfrm>
          <a:off x="66675" y="3381375"/>
          <a:ext cx="739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8</xdr:col>
      <xdr:colOff>838200</xdr:colOff>
      <xdr:row>53</xdr:row>
      <xdr:rowOff>0</xdr:rowOff>
    </xdr:to>
    <xdr:sp>
      <xdr:nvSpPr>
        <xdr:cNvPr id="10" name="Line 121"/>
        <xdr:cNvSpPr>
          <a:spLocks/>
        </xdr:cNvSpPr>
      </xdr:nvSpPr>
      <xdr:spPr>
        <a:xfrm>
          <a:off x="66675" y="3219450"/>
          <a:ext cx="739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8</xdr:col>
      <xdr:colOff>838200</xdr:colOff>
      <xdr:row>55</xdr:row>
      <xdr:rowOff>0</xdr:rowOff>
    </xdr:to>
    <xdr:sp>
      <xdr:nvSpPr>
        <xdr:cNvPr id="11" name="Line 123"/>
        <xdr:cNvSpPr>
          <a:spLocks/>
        </xdr:cNvSpPr>
      </xdr:nvSpPr>
      <xdr:spPr>
        <a:xfrm>
          <a:off x="66675" y="3543300"/>
          <a:ext cx="739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50</xdr:row>
      <xdr:rowOff>161925</xdr:rowOff>
    </xdr:from>
    <xdr:to>
      <xdr:col>8</xdr:col>
      <xdr:colOff>838200</xdr:colOff>
      <xdr:row>50</xdr:row>
      <xdr:rowOff>161925</xdr:rowOff>
    </xdr:to>
    <xdr:sp>
      <xdr:nvSpPr>
        <xdr:cNvPr id="12" name="Line 54"/>
        <xdr:cNvSpPr>
          <a:spLocks/>
        </xdr:cNvSpPr>
      </xdr:nvSpPr>
      <xdr:spPr>
        <a:xfrm flipV="1">
          <a:off x="1209675" y="3009900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0</xdr:rowOff>
    </xdr:from>
    <xdr:to>
      <xdr:col>8</xdr:col>
      <xdr:colOff>838200</xdr:colOff>
      <xdr:row>56</xdr:row>
      <xdr:rowOff>0</xdr:rowOff>
    </xdr:to>
    <xdr:sp>
      <xdr:nvSpPr>
        <xdr:cNvPr id="13" name="Line 120"/>
        <xdr:cNvSpPr>
          <a:spLocks/>
        </xdr:cNvSpPr>
      </xdr:nvSpPr>
      <xdr:spPr>
        <a:xfrm>
          <a:off x="66675" y="3705225"/>
          <a:ext cx="739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0</xdr:rowOff>
    </xdr:from>
    <xdr:to>
      <xdr:col>8</xdr:col>
      <xdr:colOff>838200</xdr:colOff>
      <xdr:row>62</xdr:row>
      <xdr:rowOff>0</xdr:rowOff>
    </xdr:to>
    <xdr:sp>
      <xdr:nvSpPr>
        <xdr:cNvPr id="14" name="Line 120"/>
        <xdr:cNvSpPr>
          <a:spLocks/>
        </xdr:cNvSpPr>
      </xdr:nvSpPr>
      <xdr:spPr>
        <a:xfrm>
          <a:off x="66675" y="4610100"/>
          <a:ext cx="739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61</xdr:row>
      <xdr:rowOff>0</xdr:rowOff>
    </xdr:from>
    <xdr:to>
      <xdr:col>8</xdr:col>
      <xdr:colOff>838200</xdr:colOff>
      <xdr:row>61</xdr:row>
      <xdr:rowOff>0</xdr:rowOff>
    </xdr:to>
    <xdr:sp>
      <xdr:nvSpPr>
        <xdr:cNvPr id="15" name="Line 121"/>
        <xdr:cNvSpPr>
          <a:spLocks/>
        </xdr:cNvSpPr>
      </xdr:nvSpPr>
      <xdr:spPr>
        <a:xfrm>
          <a:off x="66675" y="4448175"/>
          <a:ext cx="739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8</xdr:col>
      <xdr:colOff>838200</xdr:colOff>
      <xdr:row>63</xdr:row>
      <xdr:rowOff>0</xdr:rowOff>
    </xdr:to>
    <xdr:sp>
      <xdr:nvSpPr>
        <xdr:cNvPr id="16" name="Line 123"/>
        <xdr:cNvSpPr>
          <a:spLocks/>
        </xdr:cNvSpPr>
      </xdr:nvSpPr>
      <xdr:spPr>
        <a:xfrm>
          <a:off x="66675" y="4772025"/>
          <a:ext cx="739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80</xdr:row>
      <xdr:rowOff>0</xdr:rowOff>
    </xdr:from>
    <xdr:to>
      <xdr:col>8</xdr:col>
      <xdr:colOff>838200</xdr:colOff>
      <xdr:row>80</xdr:row>
      <xdr:rowOff>0</xdr:rowOff>
    </xdr:to>
    <xdr:sp>
      <xdr:nvSpPr>
        <xdr:cNvPr id="17" name="Line 120"/>
        <xdr:cNvSpPr>
          <a:spLocks/>
        </xdr:cNvSpPr>
      </xdr:nvSpPr>
      <xdr:spPr>
        <a:xfrm flipV="1">
          <a:off x="1133475" y="7324725"/>
          <a:ext cx="6324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752475</xdr:colOff>
      <xdr:row>81</xdr:row>
      <xdr:rowOff>0</xdr:rowOff>
    </xdr:from>
    <xdr:to>
      <xdr:col>8</xdr:col>
      <xdr:colOff>838200</xdr:colOff>
      <xdr:row>81</xdr:row>
      <xdr:rowOff>0</xdr:rowOff>
    </xdr:to>
    <xdr:sp>
      <xdr:nvSpPr>
        <xdr:cNvPr id="18" name="Line 123"/>
        <xdr:cNvSpPr>
          <a:spLocks/>
        </xdr:cNvSpPr>
      </xdr:nvSpPr>
      <xdr:spPr>
        <a:xfrm flipV="1">
          <a:off x="1133475" y="7486650"/>
          <a:ext cx="6324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97</xdr:row>
      <xdr:rowOff>180975</xdr:rowOff>
    </xdr:from>
    <xdr:to>
      <xdr:col>4</xdr:col>
      <xdr:colOff>581025</xdr:colOff>
      <xdr:row>97</xdr:row>
      <xdr:rowOff>180975</xdr:rowOff>
    </xdr:to>
    <xdr:sp>
      <xdr:nvSpPr>
        <xdr:cNvPr id="19" name="Line 124"/>
        <xdr:cNvSpPr>
          <a:spLocks/>
        </xdr:cNvSpPr>
      </xdr:nvSpPr>
      <xdr:spPr>
        <a:xfrm>
          <a:off x="2352675" y="9886950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97</xdr:row>
      <xdr:rowOff>180975</xdr:rowOff>
    </xdr:from>
    <xdr:to>
      <xdr:col>8</xdr:col>
      <xdr:colOff>838200</xdr:colOff>
      <xdr:row>97</xdr:row>
      <xdr:rowOff>180975</xdr:rowOff>
    </xdr:to>
    <xdr:sp>
      <xdr:nvSpPr>
        <xdr:cNvPr id="20" name="Line 125"/>
        <xdr:cNvSpPr>
          <a:spLocks/>
        </xdr:cNvSpPr>
      </xdr:nvSpPr>
      <xdr:spPr>
        <a:xfrm>
          <a:off x="3952875" y="9886950"/>
          <a:ext cx="3505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85</xdr:row>
      <xdr:rowOff>0</xdr:rowOff>
    </xdr:from>
    <xdr:to>
      <xdr:col>4</xdr:col>
      <xdr:colOff>466725</xdr:colOff>
      <xdr:row>85</xdr:row>
      <xdr:rowOff>0</xdr:rowOff>
    </xdr:to>
    <xdr:sp>
      <xdr:nvSpPr>
        <xdr:cNvPr id="21" name="Line 545"/>
        <xdr:cNvSpPr>
          <a:spLocks/>
        </xdr:cNvSpPr>
      </xdr:nvSpPr>
      <xdr:spPr>
        <a:xfrm>
          <a:off x="1857375" y="7915275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85</xdr:row>
      <xdr:rowOff>0</xdr:rowOff>
    </xdr:from>
    <xdr:to>
      <xdr:col>8</xdr:col>
      <xdr:colOff>838200</xdr:colOff>
      <xdr:row>85</xdr:row>
      <xdr:rowOff>0</xdr:rowOff>
    </xdr:to>
    <xdr:sp>
      <xdr:nvSpPr>
        <xdr:cNvPr id="22" name="Line 125"/>
        <xdr:cNvSpPr>
          <a:spLocks/>
        </xdr:cNvSpPr>
      </xdr:nvSpPr>
      <xdr:spPr>
        <a:xfrm>
          <a:off x="3981450" y="7915275"/>
          <a:ext cx="3476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86</xdr:row>
      <xdr:rowOff>190500</xdr:rowOff>
    </xdr:from>
    <xdr:to>
      <xdr:col>4</xdr:col>
      <xdr:colOff>466725</xdr:colOff>
      <xdr:row>86</xdr:row>
      <xdr:rowOff>190500</xdr:rowOff>
    </xdr:to>
    <xdr:sp>
      <xdr:nvSpPr>
        <xdr:cNvPr id="23" name="Line 547"/>
        <xdr:cNvSpPr>
          <a:spLocks/>
        </xdr:cNvSpPr>
      </xdr:nvSpPr>
      <xdr:spPr>
        <a:xfrm>
          <a:off x="1857375" y="8229600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86</xdr:row>
      <xdr:rowOff>190500</xdr:rowOff>
    </xdr:from>
    <xdr:to>
      <xdr:col>8</xdr:col>
      <xdr:colOff>838200</xdr:colOff>
      <xdr:row>86</xdr:row>
      <xdr:rowOff>190500</xdr:rowOff>
    </xdr:to>
    <xdr:sp>
      <xdr:nvSpPr>
        <xdr:cNvPr id="24" name="Line 125"/>
        <xdr:cNvSpPr>
          <a:spLocks/>
        </xdr:cNvSpPr>
      </xdr:nvSpPr>
      <xdr:spPr>
        <a:xfrm>
          <a:off x="3981450" y="8229600"/>
          <a:ext cx="3476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88</xdr:row>
      <xdr:rowOff>190500</xdr:rowOff>
    </xdr:from>
    <xdr:to>
      <xdr:col>4</xdr:col>
      <xdr:colOff>466725</xdr:colOff>
      <xdr:row>88</xdr:row>
      <xdr:rowOff>190500</xdr:rowOff>
    </xdr:to>
    <xdr:sp>
      <xdr:nvSpPr>
        <xdr:cNvPr id="25" name="Line 549"/>
        <xdr:cNvSpPr>
          <a:spLocks/>
        </xdr:cNvSpPr>
      </xdr:nvSpPr>
      <xdr:spPr>
        <a:xfrm>
          <a:off x="1857375" y="8553450"/>
          <a:ext cx="1800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88</xdr:row>
      <xdr:rowOff>190500</xdr:rowOff>
    </xdr:from>
    <xdr:to>
      <xdr:col>8</xdr:col>
      <xdr:colOff>838200</xdr:colOff>
      <xdr:row>88</xdr:row>
      <xdr:rowOff>190500</xdr:rowOff>
    </xdr:to>
    <xdr:sp>
      <xdr:nvSpPr>
        <xdr:cNvPr id="26" name="Line 125"/>
        <xdr:cNvSpPr>
          <a:spLocks/>
        </xdr:cNvSpPr>
      </xdr:nvSpPr>
      <xdr:spPr>
        <a:xfrm>
          <a:off x="3981450" y="8553450"/>
          <a:ext cx="3476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8</xdr:col>
      <xdr:colOff>838200</xdr:colOff>
      <xdr:row>42</xdr:row>
      <xdr:rowOff>0</xdr:rowOff>
    </xdr:to>
    <xdr:sp>
      <xdr:nvSpPr>
        <xdr:cNvPr id="27" name="Line 54"/>
        <xdr:cNvSpPr>
          <a:spLocks/>
        </xdr:cNvSpPr>
      </xdr:nvSpPr>
      <xdr:spPr>
        <a:xfrm>
          <a:off x="1209675" y="1562100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43</xdr:row>
      <xdr:rowOff>161925</xdr:rowOff>
    </xdr:from>
    <xdr:to>
      <xdr:col>8</xdr:col>
      <xdr:colOff>838200</xdr:colOff>
      <xdr:row>43</xdr:row>
      <xdr:rowOff>161925</xdr:rowOff>
    </xdr:to>
    <xdr:sp>
      <xdr:nvSpPr>
        <xdr:cNvPr id="28" name="Line 54"/>
        <xdr:cNvSpPr>
          <a:spLocks/>
        </xdr:cNvSpPr>
      </xdr:nvSpPr>
      <xdr:spPr>
        <a:xfrm>
          <a:off x="1209675" y="1885950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44</xdr:row>
      <xdr:rowOff>161925</xdr:rowOff>
    </xdr:from>
    <xdr:to>
      <xdr:col>8</xdr:col>
      <xdr:colOff>838200</xdr:colOff>
      <xdr:row>44</xdr:row>
      <xdr:rowOff>161925</xdr:rowOff>
    </xdr:to>
    <xdr:sp>
      <xdr:nvSpPr>
        <xdr:cNvPr id="29" name="Line 54"/>
        <xdr:cNvSpPr>
          <a:spLocks/>
        </xdr:cNvSpPr>
      </xdr:nvSpPr>
      <xdr:spPr>
        <a:xfrm flipV="1">
          <a:off x="1209675" y="2047875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8</xdr:col>
      <xdr:colOff>838200</xdr:colOff>
      <xdr:row>44</xdr:row>
      <xdr:rowOff>0</xdr:rowOff>
    </xdr:to>
    <xdr:sp>
      <xdr:nvSpPr>
        <xdr:cNvPr id="30" name="Line 54"/>
        <xdr:cNvSpPr>
          <a:spLocks/>
        </xdr:cNvSpPr>
      </xdr:nvSpPr>
      <xdr:spPr>
        <a:xfrm>
          <a:off x="1209675" y="1885950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0</xdr:rowOff>
    </xdr:from>
    <xdr:to>
      <xdr:col>8</xdr:col>
      <xdr:colOff>838200</xdr:colOff>
      <xdr:row>45</xdr:row>
      <xdr:rowOff>0</xdr:rowOff>
    </xdr:to>
    <xdr:sp>
      <xdr:nvSpPr>
        <xdr:cNvPr id="31" name="Line 54"/>
        <xdr:cNvSpPr>
          <a:spLocks/>
        </xdr:cNvSpPr>
      </xdr:nvSpPr>
      <xdr:spPr>
        <a:xfrm flipV="1">
          <a:off x="1209675" y="2047875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8</xdr:col>
      <xdr:colOff>838200</xdr:colOff>
      <xdr:row>43</xdr:row>
      <xdr:rowOff>0</xdr:rowOff>
    </xdr:to>
    <xdr:sp>
      <xdr:nvSpPr>
        <xdr:cNvPr id="32" name="Line 54"/>
        <xdr:cNvSpPr>
          <a:spLocks/>
        </xdr:cNvSpPr>
      </xdr:nvSpPr>
      <xdr:spPr>
        <a:xfrm>
          <a:off x="1209675" y="1724025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152400</xdr:rowOff>
    </xdr:from>
    <xdr:to>
      <xdr:col>8</xdr:col>
      <xdr:colOff>838200</xdr:colOff>
      <xdr:row>45</xdr:row>
      <xdr:rowOff>152400</xdr:rowOff>
    </xdr:to>
    <xdr:sp>
      <xdr:nvSpPr>
        <xdr:cNvPr id="33" name="Line 54"/>
        <xdr:cNvSpPr>
          <a:spLocks/>
        </xdr:cNvSpPr>
      </xdr:nvSpPr>
      <xdr:spPr>
        <a:xfrm flipV="1">
          <a:off x="1209675" y="2200275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45</xdr:row>
      <xdr:rowOff>152400</xdr:rowOff>
    </xdr:from>
    <xdr:to>
      <xdr:col>8</xdr:col>
      <xdr:colOff>838200</xdr:colOff>
      <xdr:row>45</xdr:row>
      <xdr:rowOff>152400</xdr:rowOff>
    </xdr:to>
    <xdr:sp>
      <xdr:nvSpPr>
        <xdr:cNvPr id="34" name="Line 54"/>
        <xdr:cNvSpPr>
          <a:spLocks/>
        </xdr:cNvSpPr>
      </xdr:nvSpPr>
      <xdr:spPr>
        <a:xfrm flipV="1">
          <a:off x="1209675" y="2200275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54</xdr:row>
      <xdr:rowOff>0</xdr:rowOff>
    </xdr:from>
    <xdr:to>
      <xdr:col>8</xdr:col>
      <xdr:colOff>838200</xdr:colOff>
      <xdr:row>54</xdr:row>
      <xdr:rowOff>0</xdr:rowOff>
    </xdr:to>
    <xdr:sp>
      <xdr:nvSpPr>
        <xdr:cNvPr id="35" name="Line 120"/>
        <xdr:cNvSpPr>
          <a:spLocks/>
        </xdr:cNvSpPr>
      </xdr:nvSpPr>
      <xdr:spPr>
        <a:xfrm>
          <a:off x="66675" y="3381375"/>
          <a:ext cx="739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8</xdr:col>
      <xdr:colOff>838200</xdr:colOff>
      <xdr:row>53</xdr:row>
      <xdr:rowOff>0</xdr:rowOff>
    </xdr:to>
    <xdr:sp>
      <xdr:nvSpPr>
        <xdr:cNvPr id="36" name="Line 121"/>
        <xdr:cNvSpPr>
          <a:spLocks/>
        </xdr:cNvSpPr>
      </xdr:nvSpPr>
      <xdr:spPr>
        <a:xfrm>
          <a:off x="66675" y="3219450"/>
          <a:ext cx="739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8</xdr:col>
      <xdr:colOff>838200</xdr:colOff>
      <xdr:row>55</xdr:row>
      <xdr:rowOff>0</xdr:rowOff>
    </xdr:to>
    <xdr:sp>
      <xdr:nvSpPr>
        <xdr:cNvPr id="37" name="Line 123"/>
        <xdr:cNvSpPr>
          <a:spLocks/>
        </xdr:cNvSpPr>
      </xdr:nvSpPr>
      <xdr:spPr>
        <a:xfrm>
          <a:off x="66675" y="3543300"/>
          <a:ext cx="739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50</xdr:row>
      <xdr:rowOff>161925</xdr:rowOff>
    </xdr:from>
    <xdr:to>
      <xdr:col>8</xdr:col>
      <xdr:colOff>838200</xdr:colOff>
      <xdr:row>50</xdr:row>
      <xdr:rowOff>161925</xdr:rowOff>
    </xdr:to>
    <xdr:sp>
      <xdr:nvSpPr>
        <xdr:cNvPr id="38" name="Line 54"/>
        <xdr:cNvSpPr>
          <a:spLocks/>
        </xdr:cNvSpPr>
      </xdr:nvSpPr>
      <xdr:spPr>
        <a:xfrm flipV="1">
          <a:off x="1209675" y="3009900"/>
          <a:ext cx="6248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56</xdr:row>
      <xdr:rowOff>0</xdr:rowOff>
    </xdr:from>
    <xdr:to>
      <xdr:col>8</xdr:col>
      <xdr:colOff>838200</xdr:colOff>
      <xdr:row>56</xdr:row>
      <xdr:rowOff>0</xdr:rowOff>
    </xdr:to>
    <xdr:sp>
      <xdr:nvSpPr>
        <xdr:cNvPr id="39" name="Line 120"/>
        <xdr:cNvSpPr>
          <a:spLocks/>
        </xdr:cNvSpPr>
      </xdr:nvSpPr>
      <xdr:spPr>
        <a:xfrm>
          <a:off x="66675" y="3705225"/>
          <a:ext cx="739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0</xdr:rowOff>
    </xdr:from>
    <xdr:to>
      <xdr:col>8</xdr:col>
      <xdr:colOff>838200</xdr:colOff>
      <xdr:row>62</xdr:row>
      <xdr:rowOff>0</xdr:rowOff>
    </xdr:to>
    <xdr:sp>
      <xdr:nvSpPr>
        <xdr:cNvPr id="40" name="Line 120"/>
        <xdr:cNvSpPr>
          <a:spLocks/>
        </xdr:cNvSpPr>
      </xdr:nvSpPr>
      <xdr:spPr>
        <a:xfrm>
          <a:off x="66675" y="4610100"/>
          <a:ext cx="739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61</xdr:row>
      <xdr:rowOff>0</xdr:rowOff>
    </xdr:from>
    <xdr:to>
      <xdr:col>8</xdr:col>
      <xdr:colOff>838200</xdr:colOff>
      <xdr:row>61</xdr:row>
      <xdr:rowOff>0</xdr:rowOff>
    </xdr:to>
    <xdr:sp>
      <xdr:nvSpPr>
        <xdr:cNvPr id="41" name="Line 121"/>
        <xdr:cNvSpPr>
          <a:spLocks/>
        </xdr:cNvSpPr>
      </xdr:nvSpPr>
      <xdr:spPr>
        <a:xfrm>
          <a:off x="66675" y="4448175"/>
          <a:ext cx="739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8</xdr:col>
      <xdr:colOff>838200</xdr:colOff>
      <xdr:row>63</xdr:row>
      <xdr:rowOff>0</xdr:rowOff>
    </xdr:to>
    <xdr:sp>
      <xdr:nvSpPr>
        <xdr:cNvPr id="42" name="Line 123"/>
        <xdr:cNvSpPr>
          <a:spLocks/>
        </xdr:cNvSpPr>
      </xdr:nvSpPr>
      <xdr:spPr>
        <a:xfrm>
          <a:off x="66675" y="4772025"/>
          <a:ext cx="739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%20+%20&#1069;&#1047;%20&#1076;&#1077;&#1081;&#1089;&#1090;&#1074;&#1091;&#1102;&#1097;&#1080;&#1077;%20&#1080;&#1079;%20&#1082;&#1072;&#1087;&#1089;&#1091;&#1083;&#1099;\5.%20&#1040;&#1090;&#1090;&#1077;&#1089;&#1090;&#1072;&#1094;&#1080;&#1103;%20&#1088;&#1072;&#1073;&#1086;&#1090;&#1085;&#1080;&#1082;&#1086;&#1074;%20&#1057;&#1055;&#1054;,&#1053;&#1055;&#1054;\6.%20&#1069;&#1047;%20&#1087;&#1088;&#1077;&#1087;&#1086;&#1076;.&#1086;&#1073;&#1097;&#1077;&#1086;&#1073;&#1088;.&#1076;&#1080;&#1089;&#1094;&#1080;&#1087;&#1083;&#1080;&#1085;\&#1069;&#1047;%20&#1087;&#1088;&#1077;&#1087;&#1086;&#1076;.&#1086;&#1073;&#1097;&#1077;&#1086;&#1073;&#1088;.&#1076;&#1080;&#1089;&#1094;.&#1053;&#1055;&#1054;,&#1057;&#1055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%20&#1056;&#1072;&#1073;&#1086;&#1095;&#1072;&#1103;_&#1069;&#1047;\_!_&#1075;&#1086;&#1090;&#1086;&#1074;&#1099;&#1077;%20&#1069;&#1047;\+&#1069;&#1047;_&#1074;&#1086;&#1089;&#1087;&#1080;&#1090;&#1072;&#1090;&#1077;&#1083;&#1100;_&#1044;&#1054;&#1059;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chutina_se\Desktop\!%20%20&#1069;&#1047;%20_&#1080;&#1102;&#1083;&#1100;%202018\42-47.%20&#1055;&#1077;&#1076;&#1072;&#1075;&#1086;&#1075;%20&#1044;&#1054;\42.%20&#1087;&#1077;&#1076;&#1072;&#1075;&#1086;&#1075;%20&#1044;&#1054;%20(&#1086;&#1089;&#1085;&#1086;&#1074;&#1085;&#1086;&#1081;)\&#1069;&#1047;%20&#1087;&#1077;&#1076;&#1072;&#1075;&#1086;&#1075;&#1072;%20&#1044;&#1054;(&#1086;&#1089;&#1085;)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ЭЗ"/>
      <sheetName val="ЭЗ предм"/>
    </sheetNames>
    <sheetDataSet>
      <sheetData sheetId="1">
        <row r="420">
          <cell r="X420">
            <v>590</v>
          </cell>
        </row>
        <row r="421">
          <cell r="X421">
            <v>1240</v>
          </cell>
        </row>
        <row r="423">
          <cell r="AN423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ЭЗ"/>
      <sheetName val="п.2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ЭЗ"/>
      <sheetName val="утв"/>
    </sheetNames>
    <sheetDataSet>
      <sheetData sheetId="0">
        <row r="56">
          <cell r="M56" t="str">
            <v/>
          </cell>
        </row>
        <row r="63">
          <cell r="A63" t="str">
            <v>Курсы повышения квалификации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6"/>
  <sheetViews>
    <sheetView showGridLines="0" showRowColHeaders="0" showZeros="0" tabSelected="1" showOutlineSymbols="0" zoomScalePageLayoutView="0" workbookViewId="0" topLeftCell="A1">
      <selection activeCell="A1" sqref="A1:J1"/>
    </sheetView>
  </sheetViews>
  <sheetFormatPr defaultColWidth="9.00390625" defaultRowHeight="12.75"/>
  <cols>
    <col min="1" max="1" width="30.125" style="3" customWidth="1"/>
    <col min="2" max="2" width="3.125" style="3" bestFit="1" customWidth="1"/>
    <col min="3" max="3" width="7.625" style="3" customWidth="1"/>
    <col min="4" max="4" width="5.875" style="3" customWidth="1"/>
    <col min="5" max="5" width="18.625" style="3" customWidth="1"/>
    <col min="6" max="6" width="7.375" style="3" customWidth="1"/>
    <col min="7" max="7" width="3.875" style="3" bestFit="1" customWidth="1"/>
    <col min="8" max="8" width="7.375" style="3" customWidth="1"/>
    <col min="9" max="9" width="32.25390625" style="3" customWidth="1"/>
    <col min="10" max="10" width="11.875" style="3" customWidth="1"/>
    <col min="11" max="11" width="25.625" style="94" hidden="1" customWidth="1"/>
    <col min="12" max="12" width="15.375" style="93" hidden="1" customWidth="1"/>
    <col min="13" max="13" width="12.75390625" style="96" hidden="1" customWidth="1"/>
    <col min="14" max="14" width="10.25390625" style="3" hidden="1" customWidth="1"/>
    <col min="15" max="21" width="9.125" style="3" hidden="1" customWidth="1"/>
    <col min="22" max="22" width="0.37109375" style="3" customWidth="1"/>
    <col min="23" max="23" width="15.375" style="3" customWidth="1"/>
    <col min="24" max="16384" width="9.125" style="3" customWidth="1"/>
  </cols>
  <sheetData>
    <row r="1" spans="1:23" ht="15.75" customHeight="1">
      <c r="A1" s="636" t="str">
        <f>A106</f>
        <v>Введите данные в ячейки, выделенные голубым и зеленым цветом</v>
      </c>
      <c r="B1" s="637"/>
      <c r="C1" s="637"/>
      <c r="D1" s="637"/>
      <c r="E1" s="637"/>
      <c r="F1" s="637"/>
      <c r="G1" s="637"/>
      <c r="H1" s="637"/>
      <c r="I1" s="637"/>
      <c r="J1" s="638"/>
      <c r="N1" s="369"/>
      <c r="V1" s="611" t="s">
        <v>654</v>
      </c>
      <c r="W1" s="1054"/>
    </row>
    <row r="2" spans="1:23" ht="3.75" customHeight="1">
      <c r="A2" s="328"/>
      <c r="B2" s="329"/>
      <c r="C2" s="329"/>
      <c r="D2" s="329"/>
      <c r="E2" s="329"/>
      <c r="F2" s="329"/>
      <c r="G2" s="329"/>
      <c r="H2" s="329"/>
      <c r="I2" s="329"/>
      <c r="J2" s="330"/>
      <c r="V2" s="388"/>
      <c r="W2" s="1054"/>
    </row>
    <row r="3" spans="1:23" ht="42" customHeight="1" thickBot="1">
      <c r="A3" s="641" t="s">
        <v>385</v>
      </c>
      <c r="B3" s="642"/>
      <c r="C3" s="642"/>
      <c r="D3" s="642"/>
      <c r="E3" s="642"/>
      <c r="F3" s="642"/>
      <c r="G3" s="642"/>
      <c r="H3" s="642"/>
      <c r="I3" s="642"/>
      <c r="J3" s="643"/>
      <c r="K3" s="596"/>
      <c r="L3" s="597"/>
      <c r="M3" s="598"/>
      <c r="N3" s="594" t="s">
        <v>613</v>
      </c>
      <c r="O3" s="594" t="s">
        <v>614</v>
      </c>
      <c r="V3" s="388"/>
      <c r="W3" s="607"/>
    </row>
    <row r="4" spans="1:23" ht="16.5" customHeight="1" thickBot="1">
      <c r="A4" s="576" t="s">
        <v>163</v>
      </c>
      <c r="B4" s="644">
        <v>1</v>
      </c>
      <c r="C4" s="645"/>
      <c r="D4" s="577"/>
      <c r="E4" s="578" t="str">
        <f aca="true" t="shared" si="0" ref="E4:E16">VLOOKUP(A109,$A$109:$H$121,$B$4+1)</f>
        <v>Балашиха</v>
      </c>
      <c r="F4" s="579"/>
      <c r="G4" s="580"/>
      <c r="H4" s="646" t="str">
        <f>ЭЗ!A34</f>
        <v>ЭКСПЕРТНОЕ ЗАКЛЮЧЕНИЕ</v>
      </c>
      <c r="I4" s="646"/>
      <c r="J4" s="647"/>
      <c r="K4" s="94" t="s">
        <v>618</v>
      </c>
      <c r="M4" s="96">
        <v>1</v>
      </c>
      <c r="N4" s="599">
        <v>900</v>
      </c>
      <c r="O4" s="599">
        <v>1730</v>
      </c>
      <c r="V4" s="388"/>
      <c r="W4" s="607"/>
    </row>
    <row r="5" spans="1:23" ht="10.5" customHeight="1">
      <c r="A5" s="581"/>
      <c r="B5" s="577"/>
      <c r="C5" s="577"/>
      <c r="D5" s="577"/>
      <c r="E5" s="582" t="str">
        <f t="shared" si="0"/>
        <v>Ногинский</v>
      </c>
      <c r="F5" s="583"/>
      <c r="G5" s="584"/>
      <c r="H5" s="646"/>
      <c r="I5" s="646"/>
      <c r="J5" s="647"/>
      <c r="K5" s="94" t="s">
        <v>619</v>
      </c>
      <c r="M5" s="96">
        <v>1</v>
      </c>
      <c r="N5" s="593">
        <v>900</v>
      </c>
      <c r="O5" s="593">
        <v>1730</v>
      </c>
      <c r="V5" s="388"/>
      <c r="W5" s="607"/>
    </row>
    <row r="6" spans="1:23" ht="10.5" customHeight="1">
      <c r="A6" s="581"/>
      <c r="B6" s="577"/>
      <c r="C6" s="577"/>
      <c r="D6" s="577"/>
      <c r="E6" s="582" t="str">
        <f t="shared" si="0"/>
        <v>Орехово-Зуевский</v>
      </c>
      <c r="F6" s="583"/>
      <c r="G6" s="650" t="s">
        <v>522</v>
      </c>
      <c r="H6" s="651"/>
      <c r="I6" s="651"/>
      <c r="J6" s="652"/>
      <c r="K6" s="94" t="s">
        <v>620</v>
      </c>
      <c r="M6" s="96">
        <v>1</v>
      </c>
      <c r="N6" s="593">
        <v>900</v>
      </c>
      <c r="O6" s="593">
        <v>1730</v>
      </c>
      <c r="V6" s="388"/>
      <c r="W6" s="607"/>
    </row>
    <row r="7" spans="1:23" ht="10.5" customHeight="1">
      <c r="A7" s="581"/>
      <c r="B7" s="577"/>
      <c r="C7" s="577"/>
      <c r="D7" s="577"/>
      <c r="E7" s="582" t="str">
        <f t="shared" si="0"/>
        <v>Орехово-Зуево</v>
      </c>
      <c r="F7" s="583"/>
      <c r="G7" s="650"/>
      <c r="H7" s="651"/>
      <c r="I7" s="651"/>
      <c r="J7" s="652"/>
      <c r="K7" s="94" t="s">
        <v>621</v>
      </c>
      <c r="M7" s="96">
        <v>1</v>
      </c>
      <c r="N7" s="593">
        <v>900</v>
      </c>
      <c r="O7" s="593">
        <v>1730</v>
      </c>
      <c r="V7" s="388"/>
      <c r="W7" s="607"/>
    </row>
    <row r="8" spans="1:23" ht="10.5" customHeight="1">
      <c r="A8" s="581"/>
      <c r="B8" s="577"/>
      <c r="C8" s="577"/>
      <c r="D8" s="577"/>
      <c r="E8" s="582" t="str">
        <f t="shared" si="0"/>
        <v>Павловский Посад</v>
      </c>
      <c r="F8" s="583"/>
      <c r="G8" s="650"/>
      <c r="H8" s="651"/>
      <c r="I8" s="651"/>
      <c r="J8" s="652"/>
      <c r="K8" s="94" t="s">
        <v>622</v>
      </c>
      <c r="M8" s="96">
        <v>1</v>
      </c>
      <c r="N8" s="593">
        <v>900</v>
      </c>
      <c r="O8" s="593">
        <v>1730</v>
      </c>
      <c r="V8" s="388"/>
      <c r="W8" s="607"/>
    </row>
    <row r="9" spans="1:23" ht="10.5" customHeight="1">
      <c r="A9" s="581"/>
      <c r="B9" s="577"/>
      <c r="C9" s="577"/>
      <c r="D9" s="577"/>
      <c r="E9" s="582" t="str">
        <f t="shared" si="0"/>
        <v>Реутов</v>
      </c>
      <c r="F9" s="583"/>
      <c r="G9" s="650"/>
      <c r="H9" s="651"/>
      <c r="I9" s="651"/>
      <c r="J9" s="652"/>
      <c r="K9" s="94" t="s">
        <v>623</v>
      </c>
      <c r="M9" s="96">
        <v>1</v>
      </c>
      <c r="N9" s="593">
        <v>900</v>
      </c>
      <c r="O9" s="593">
        <v>1730</v>
      </c>
      <c r="V9" s="388"/>
      <c r="W9" s="607"/>
    </row>
    <row r="10" spans="1:23" ht="10.5" customHeight="1">
      <c r="A10" s="581"/>
      <c r="B10" s="577"/>
      <c r="C10" s="577"/>
      <c r="D10" s="577"/>
      <c r="E10" s="582" t="str">
        <f t="shared" si="0"/>
        <v>Черноголовка</v>
      </c>
      <c r="F10" s="583"/>
      <c r="G10" s="650"/>
      <c r="H10" s="651"/>
      <c r="I10" s="651"/>
      <c r="J10" s="652"/>
      <c r="K10" s="94" t="s">
        <v>624</v>
      </c>
      <c r="M10" s="96">
        <v>1</v>
      </c>
      <c r="N10" s="593">
        <v>900</v>
      </c>
      <c r="O10" s="593">
        <v>1730</v>
      </c>
      <c r="V10" s="388"/>
      <c r="W10" s="607"/>
    </row>
    <row r="11" spans="1:23" ht="10.5" customHeight="1">
      <c r="A11" s="581"/>
      <c r="B11" s="577"/>
      <c r="C11" s="577"/>
      <c r="D11" s="577"/>
      <c r="E11" s="582" t="str">
        <f t="shared" si="0"/>
        <v>Электрогорск</v>
      </c>
      <c r="F11" s="583"/>
      <c r="G11" s="584"/>
      <c r="H11" s="648" t="s">
        <v>524</v>
      </c>
      <c r="I11" s="648"/>
      <c r="J11" s="649"/>
      <c r="K11" s="592" t="s">
        <v>607</v>
      </c>
      <c r="L11" s="93" t="s">
        <v>608</v>
      </c>
      <c r="M11" s="96">
        <v>3</v>
      </c>
      <c r="N11" s="593">
        <v>830</v>
      </c>
      <c r="O11" s="593">
        <v>1390</v>
      </c>
      <c r="V11" s="388"/>
      <c r="W11" s="607"/>
    </row>
    <row r="12" spans="1:23" ht="10.5" customHeight="1">
      <c r="A12" s="581"/>
      <c r="B12" s="577"/>
      <c r="C12" s="577"/>
      <c r="D12" s="577"/>
      <c r="E12" s="582" t="str">
        <f t="shared" si="0"/>
        <v>Электросталь</v>
      </c>
      <c r="F12" s="583"/>
      <c r="G12" s="584"/>
      <c r="H12" s="648"/>
      <c r="I12" s="648"/>
      <c r="J12" s="649"/>
      <c r="K12" s="587" t="s">
        <v>593</v>
      </c>
      <c r="L12" s="93" t="s">
        <v>594</v>
      </c>
      <c r="M12" s="96">
        <v>2</v>
      </c>
      <c r="N12" s="593">
        <v>920</v>
      </c>
      <c r="O12" s="593">
        <v>1770</v>
      </c>
      <c r="V12" s="388"/>
      <c r="W12" s="607"/>
    </row>
    <row r="13" spans="1:23" ht="10.5" customHeight="1">
      <c r="A13" s="581"/>
      <c r="B13" s="577"/>
      <c r="C13" s="577"/>
      <c r="D13" s="577"/>
      <c r="E13" s="582" t="str">
        <f t="shared" si="0"/>
        <v>Ликино-Дулево</v>
      </c>
      <c r="F13" s="583"/>
      <c r="G13" s="584"/>
      <c r="H13" s="639" t="s">
        <v>594</v>
      </c>
      <c r="I13" s="639"/>
      <c r="J13" s="640"/>
      <c r="K13" s="600" t="s">
        <v>612</v>
      </c>
      <c r="L13" s="93" t="s">
        <v>611</v>
      </c>
      <c r="M13" s="96">
        <v>5</v>
      </c>
      <c r="N13" s="593">
        <v>1010</v>
      </c>
      <c r="O13" s="593">
        <v>1870</v>
      </c>
      <c r="V13" s="388"/>
      <c r="W13" s="607"/>
    </row>
    <row r="14" spans="1:23" ht="12.75" customHeight="1">
      <c r="A14" s="581"/>
      <c r="B14" s="577"/>
      <c r="C14" s="577"/>
      <c r="D14" s="577"/>
      <c r="E14" s="582">
        <f t="shared" si="0"/>
        <v>0</v>
      </c>
      <c r="F14" s="583"/>
      <c r="G14" s="584"/>
      <c r="H14" s="639"/>
      <c r="I14" s="639"/>
      <c r="J14" s="640"/>
      <c r="K14" s="601" t="s">
        <v>610</v>
      </c>
      <c r="L14" s="597" t="s">
        <v>609</v>
      </c>
      <c r="M14" s="598">
        <v>4</v>
      </c>
      <c r="N14" s="595">
        <v>870</v>
      </c>
      <c r="O14" s="595">
        <v>1670</v>
      </c>
      <c r="V14" s="388"/>
      <c r="W14" s="607"/>
    </row>
    <row r="15" spans="1:23" ht="12.75">
      <c r="A15" s="581"/>
      <c r="B15" s="577"/>
      <c r="C15" s="577"/>
      <c r="D15" s="577"/>
      <c r="E15" s="582">
        <f t="shared" si="0"/>
        <v>0</v>
      </c>
      <c r="F15" s="583"/>
      <c r="G15" s="584"/>
      <c r="H15" s="639"/>
      <c r="I15" s="639"/>
      <c r="J15" s="640"/>
      <c r="N15" s="593">
        <f>VLOOKUP($C$27,$K$4:$O$14,4)</f>
        <v>920</v>
      </c>
      <c r="O15" s="593">
        <f>VLOOKUP($C$27,$K$4:$O$14,5)</f>
        <v>1770</v>
      </c>
      <c r="V15" s="388"/>
      <c r="W15" s="607"/>
    </row>
    <row r="16" spans="1:23" ht="12.75">
      <c r="A16" s="581"/>
      <c r="B16" s="584"/>
      <c r="C16" s="584"/>
      <c r="D16" s="584"/>
      <c r="E16" s="585">
        <f t="shared" si="0"/>
        <v>0</v>
      </c>
      <c r="F16" s="586"/>
      <c r="G16" s="584"/>
      <c r="H16" s="639"/>
      <c r="I16" s="639"/>
      <c r="J16" s="640"/>
      <c r="V16" s="388"/>
      <c r="W16" s="607"/>
    </row>
    <row r="17" spans="1:22" ht="15">
      <c r="A17" s="678" t="s">
        <v>112</v>
      </c>
      <c r="B17" s="631"/>
      <c r="C17" s="631"/>
      <c r="D17" s="631"/>
      <c r="E17" s="631"/>
      <c r="F17" s="631"/>
      <c r="G17" s="631"/>
      <c r="H17" s="631"/>
      <c r="I17" s="631"/>
      <c r="J17" s="192"/>
      <c r="V17" s="388"/>
    </row>
    <row r="18" spans="1:22" ht="6.75" customHeight="1">
      <c r="A18" s="216"/>
      <c r="B18" s="19"/>
      <c r="C18" s="19"/>
      <c r="D18" s="19"/>
      <c r="E18" s="19"/>
      <c r="F18" s="19"/>
      <c r="G18" s="19"/>
      <c r="H18" s="19"/>
      <c r="I18" s="19"/>
      <c r="J18" s="178"/>
      <c r="V18" s="388"/>
    </row>
    <row r="19" spans="1:22" ht="15">
      <c r="A19" s="692" t="s">
        <v>113</v>
      </c>
      <c r="B19" s="693"/>
      <c r="C19" s="677"/>
      <c r="D19" s="677"/>
      <c r="E19" s="677"/>
      <c r="F19" s="677"/>
      <c r="G19" s="677"/>
      <c r="H19" s="677"/>
      <c r="I19" s="677"/>
      <c r="J19" s="178"/>
      <c r="K19" s="95">
        <f>IF(LEN(L19)&gt;40,M19,L19)</f>
      </c>
      <c r="L19" s="93">
        <f>PROPER(TRIM(C19))</f>
      </c>
      <c r="M19" s="96">
        <f>IF(L19="","",LEFT(L19,(FIND(" ",L19)+1))&amp;"."&amp;MID(L19,FIND(" ",L19,FIND(" ",L19)+1)+1,1)&amp;".")</f>
      </c>
      <c r="V19" s="388"/>
    </row>
    <row r="20" spans="1:22" ht="4.5" customHeight="1">
      <c r="A20" s="198"/>
      <c r="B20" s="77"/>
      <c r="C20" s="110"/>
      <c r="D20" s="110"/>
      <c r="E20" s="110"/>
      <c r="F20" s="110"/>
      <c r="G20" s="110"/>
      <c r="H20" s="110"/>
      <c r="I20" s="110"/>
      <c r="J20" s="178"/>
      <c r="K20" s="111"/>
      <c r="V20" s="388"/>
    </row>
    <row r="21" spans="1:22" ht="15">
      <c r="A21" s="692" t="s">
        <v>114</v>
      </c>
      <c r="B21" s="693"/>
      <c r="C21" s="693"/>
      <c r="D21" s="703" t="s">
        <v>226</v>
      </c>
      <c r="E21" s="703"/>
      <c r="F21" s="703"/>
      <c r="G21" s="707" t="s">
        <v>75</v>
      </c>
      <c r="H21" s="707"/>
      <c r="I21" s="707"/>
      <c r="J21" s="178"/>
      <c r="K21" s="95"/>
      <c r="V21" s="388"/>
    </row>
    <row r="22" spans="1:22" ht="5.25" customHeight="1">
      <c r="A22" s="198"/>
      <c r="B22" s="77"/>
      <c r="C22" s="110"/>
      <c r="D22" s="110"/>
      <c r="E22" s="110"/>
      <c r="F22" s="110"/>
      <c r="G22" s="110"/>
      <c r="H22" s="110"/>
      <c r="I22" s="110"/>
      <c r="J22" s="178"/>
      <c r="K22" s="111"/>
      <c r="V22" s="388"/>
    </row>
    <row r="23" spans="1:22" ht="15">
      <c r="A23" s="692" t="s">
        <v>149</v>
      </c>
      <c r="B23" s="693"/>
      <c r="C23" s="705" t="s">
        <v>511</v>
      </c>
      <c r="D23" s="705"/>
      <c r="E23" s="705"/>
      <c r="F23" s="705"/>
      <c r="G23" s="705"/>
      <c r="H23" s="705"/>
      <c r="I23" s="705"/>
      <c r="J23" s="178"/>
      <c r="K23" s="101">
        <f>LEN(C23)</f>
        <v>41</v>
      </c>
      <c r="L23" s="93" t="s">
        <v>276</v>
      </c>
      <c r="V23" s="388"/>
    </row>
    <row r="24" spans="1:22" ht="29.25" customHeight="1">
      <c r="A24" s="708"/>
      <c r="B24" s="709"/>
      <c r="C24" s="706"/>
      <c r="D24" s="706"/>
      <c r="E24" s="706"/>
      <c r="F24" s="706"/>
      <c r="G24" s="706"/>
      <c r="H24" s="706"/>
      <c r="I24" s="706"/>
      <c r="J24" s="178"/>
      <c r="V24" s="388"/>
    </row>
    <row r="25" spans="1:22" ht="4.5" customHeight="1">
      <c r="A25" s="241"/>
      <c r="B25" s="92"/>
      <c r="C25" s="112"/>
      <c r="D25" s="112"/>
      <c r="E25" s="112"/>
      <c r="F25" s="112"/>
      <c r="G25" s="112"/>
      <c r="H25" s="112"/>
      <c r="I25" s="112"/>
      <c r="J25" s="242"/>
      <c r="V25" s="388"/>
    </row>
    <row r="26" spans="1:22" ht="15">
      <c r="A26" s="692" t="s">
        <v>150</v>
      </c>
      <c r="B26" s="704"/>
      <c r="C26" s="626" t="s">
        <v>204</v>
      </c>
      <c r="D26" s="626"/>
      <c r="E26" s="626"/>
      <c r="F26" s="626"/>
      <c r="G26" s="626"/>
      <c r="H26" s="626"/>
      <c r="I26" s="78"/>
      <c r="J26" s="243"/>
      <c r="K26" s="3" t="str">
        <f>LOWER(TRIM(C26))</f>
        <v>педагог дополнительного образования</v>
      </c>
      <c r="L26" s="101">
        <f>LEN(K27)</f>
        <v>39</v>
      </c>
      <c r="V26" s="388"/>
    </row>
    <row r="27" spans="1:22" ht="15">
      <c r="A27" s="198" t="str">
        <f>K28</f>
        <v>Специализация</v>
      </c>
      <c r="B27" s="107"/>
      <c r="C27" s="691" t="s">
        <v>593</v>
      </c>
      <c r="D27" s="691"/>
      <c r="E27" s="691"/>
      <c r="F27" s="691"/>
      <c r="G27" s="691"/>
      <c r="H27" s="691"/>
      <c r="I27" s="691"/>
      <c r="J27" s="243"/>
      <c r="K27" s="102" t="str">
        <f>IF(C27="","",TRIM(C27))</f>
        <v>социально-педагогическая направленность</v>
      </c>
      <c r="L27" s="101">
        <f>IF(C26="",0,1)</f>
        <v>1</v>
      </c>
      <c r="V27" s="388"/>
    </row>
    <row r="28" spans="1:22" ht="5.25" customHeight="1">
      <c r="A28" s="216"/>
      <c r="B28" s="21"/>
      <c r="C28" s="625"/>
      <c r="D28" s="625"/>
      <c r="E28" s="625"/>
      <c r="F28" s="625"/>
      <c r="G28" s="625"/>
      <c r="H28" s="625"/>
      <c r="I28" s="625"/>
      <c r="J28" s="244"/>
      <c r="K28" s="3" t="str">
        <f>IF(C26="","-",IF(VLOOKUP(C26,A127:C161,3)="v","Специализация","-"))</f>
        <v>Специализация</v>
      </c>
      <c r="V28" s="388"/>
    </row>
    <row r="29" spans="1:22" ht="15" hidden="1">
      <c r="A29" s="198"/>
      <c r="B29" s="77"/>
      <c r="C29" s="19"/>
      <c r="D29" s="19"/>
      <c r="E29" s="19"/>
      <c r="F29" s="19"/>
      <c r="G29" s="19"/>
      <c r="H29" s="19"/>
      <c r="I29" s="19"/>
      <c r="J29" s="178"/>
      <c r="K29" s="102"/>
      <c r="V29" s="388"/>
    </row>
    <row r="30" spans="1:22" ht="15" customHeight="1" hidden="1">
      <c r="A30" s="264" t="str">
        <f>IF(OR(C26&lt;&gt;"",C27&lt;&gt;""),"В ЭЗ будет указана должность: ","")</f>
        <v>В ЭЗ будет указана должность: </v>
      </c>
      <c r="B30" s="265"/>
      <c r="C30" s="694" t="str">
        <f>K27</f>
        <v>социально-педагогическая направленность</v>
      </c>
      <c r="D30" s="694"/>
      <c r="E30" s="694"/>
      <c r="F30" s="694"/>
      <c r="G30" s="694"/>
      <c r="H30" s="694"/>
      <c r="I30" s="694"/>
      <c r="J30" s="266"/>
      <c r="K30" s="102"/>
      <c r="V30" s="388"/>
    </row>
    <row r="31" spans="1:22" ht="12.75" hidden="1">
      <c r="A31" s="245">
        <f>IF(D31="","","В ЭЗ будет указана квалификация:")</f>
      </c>
      <c r="B31" s="177"/>
      <c r="C31" s="694"/>
      <c r="D31" s="694"/>
      <c r="E31" s="694"/>
      <c r="F31" s="694"/>
      <c r="G31" s="694"/>
      <c r="H31" s="694"/>
      <c r="I31" s="694"/>
      <c r="J31" s="246"/>
      <c r="K31" s="102"/>
      <c r="V31" s="388"/>
    </row>
    <row r="32" spans="1:22" ht="15">
      <c r="A32" s="692" t="s">
        <v>160</v>
      </c>
      <c r="B32" s="693"/>
      <c r="C32" s="693"/>
      <c r="D32" s="103">
        <v>2</v>
      </c>
      <c r="E32" s="104" t="s">
        <v>166</v>
      </c>
      <c r="F32" s="78"/>
      <c r="G32" s="78"/>
      <c r="H32" s="78"/>
      <c r="I32" s="78"/>
      <c r="J32" s="243"/>
      <c r="V32" s="388"/>
    </row>
    <row r="33" spans="1:22" ht="15">
      <c r="A33" s="634" t="s">
        <v>161</v>
      </c>
      <c r="B33" s="635"/>
      <c r="C33" s="635"/>
      <c r="D33" s="695"/>
      <c r="E33" s="695"/>
      <c r="F33" s="702" t="s">
        <v>162</v>
      </c>
      <c r="G33" s="702"/>
      <c r="H33" s="702"/>
      <c r="I33" s="438"/>
      <c r="J33" s="439"/>
      <c r="K33" s="440"/>
      <c r="L33" s="441" t="s">
        <v>547</v>
      </c>
      <c r="M33" s="442">
        <f ca="1">TODAY()-5*365-90</f>
        <v>41418</v>
      </c>
      <c r="N33" s="442">
        <f ca="1">TODAY()</f>
        <v>43333</v>
      </c>
      <c r="O33" s="443">
        <f>N33-5*365-40</f>
        <v>41468</v>
      </c>
      <c r="V33" s="388"/>
    </row>
    <row r="34" spans="1:22" ht="4.5" customHeight="1">
      <c r="A34" s="436"/>
      <c r="B34" s="437"/>
      <c r="C34" s="437"/>
      <c r="D34" s="444"/>
      <c r="E34" s="147"/>
      <c r="F34" s="147"/>
      <c r="G34" s="147"/>
      <c r="H34" s="147"/>
      <c r="I34" s="147"/>
      <c r="J34" s="439"/>
      <c r="K34" s="440"/>
      <c r="L34" s="485"/>
      <c r="M34" s="445" t="s">
        <v>548</v>
      </c>
      <c r="N34" s="445" t="s">
        <v>549</v>
      </c>
      <c r="V34" s="388"/>
    </row>
    <row r="35" spans="1:22" ht="15">
      <c r="A35" s="436" t="s">
        <v>115</v>
      </c>
      <c r="B35" s="437"/>
      <c r="C35" s="437"/>
      <c r="D35" s="701"/>
      <c r="E35" s="701"/>
      <c r="F35" s="446">
        <f>IF(G35="","","примеч.")</f>
      </c>
      <c r="G35" s="696"/>
      <c r="H35" s="696"/>
      <c r="I35" s="447"/>
      <c r="J35" s="439">
        <f>IF(G35="","","г. )")</f>
      </c>
      <c r="K35" s="448">
        <f>IF(I35&lt;&gt;"",G35,"")</f>
      </c>
      <c r="L35" s="486">
        <f>IF(I35&lt;&gt;"",I35,"")</f>
      </c>
      <c r="M35" s="449">
        <f>IF(I35&lt;&gt;"",J35,"")</f>
      </c>
      <c r="N35" s="96"/>
      <c r="V35" s="388"/>
    </row>
    <row r="36" spans="1:22" ht="6" customHeight="1">
      <c r="A36" s="198"/>
      <c r="B36" s="77"/>
      <c r="C36" s="77"/>
      <c r="D36" s="77"/>
      <c r="E36" s="77"/>
      <c r="F36" s="77"/>
      <c r="G36" s="77"/>
      <c r="H36" s="36"/>
      <c r="I36" s="36"/>
      <c r="J36" s="178"/>
      <c r="K36" s="448">
        <f>TYPE(I35)</f>
        <v>1</v>
      </c>
      <c r="L36" s="108"/>
      <c r="M36" s="93"/>
      <c r="N36" s="96"/>
      <c r="V36" s="388"/>
    </row>
    <row r="37" spans="1:57" ht="15">
      <c r="A37" s="450" t="s">
        <v>550</v>
      </c>
      <c r="B37" s="712" t="s">
        <v>551</v>
      </c>
      <c r="C37" s="712"/>
      <c r="D37" s="712"/>
      <c r="E37" s="712"/>
      <c r="F37" s="77"/>
      <c r="G37" s="77"/>
      <c r="H37" s="36"/>
      <c r="I37" s="36"/>
      <c r="J37" s="178"/>
      <c r="K37" s="451" t="s">
        <v>543</v>
      </c>
      <c r="L37" s="451" t="s">
        <v>551</v>
      </c>
      <c r="M37" s="451" t="s">
        <v>552</v>
      </c>
      <c r="N37" s="451" t="s">
        <v>553</v>
      </c>
      <c r="O37" s="451" t="s">
        <v>554</v>
      </c>
      <c r="P37" s="451"/>
      <c r="Q37" s="451"/>
      <c r="R37" s="451"/>
      <c r="V37" s="388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ht="3" customHeight="1">
      <c r="A38" s="216"/>
      <c r="B38" s="77"/>
      <c r="C38" s="77"/>
      <c r="D38" s="77"/>
      <c r="E38" s="77"/>
      <c r="F38" s="77"/>
      <c r="G38" s="77"/>
      <c r="H38" s="36"/>
      <c r="I38" s="36"/>
      <c r="J38" s="178"/>
      <c r="K38" s="452"/>
      <c r="L38" s="452"/>
      <c r="M38" s="452"/>
      <c r="N38" s="452"/>
      <c r="O38" s="452"/>
      <c r="P38" s="452"/>
      <c r="Q38" s="452"/>
      <c r="R38" s="452"/>
      <c r="V38" s="388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ht="3" customHeight="1">
      <c r="A39" s="216"/>
      <c r="B39" s="77"/>
      <c r="C39" s="77"/>
      <c r="D39" s="77"/>
      <c r="E39" s="77"/>
      <c r="F39" s="77"/>
      <c r="G39" s="453"/>
      <c r="H39" s="453"/>
      <c r="I39" s="453"/>
      <c r="J39" s="178"/>
      <c r="K39" s="452"/>
      <c r="L39" s="452"/>
      <c r="M39" s="452"/>
      <c r="N39" s="452"/>
      <c r="O39" s="452"/>
      <c r="P39" s="452"/>
      <c r="Q39" s="452"/>
      <c r="R39" s="452"/>
      <c r="V39" s="388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ht="12.75" customHeight="1">
      <c r="A40" s="713" t="str">
        <f>B37</f>
        <v>высшее</v>
      </c>
      <c r="B40" s="715"/>
      <c r="C40" s="715"/>
      <c r="D40" s="715"/>
      <c r="E40" s="715"/>
      <c r="F40" s="715"/>
      <c r="G40" s="715"/>
      <c r="H40" s="715"/>
      <c r="I40" s="715"/>
      <c r="J40" s="716"/>
      <c r="K40" s="101">
        <f>LEN(вуз_1)</f>
        <v>0</v>
      </c>
      <c r="L40" s="454">
        <f>TRIM(вуз_1&amp;IF(год_вуз_1="","",", "&amp;год_вуз_1&amp;"г."))</f>
      </c>
      <c r="M40" s="452"/>
      <c r="N40" s="452"/>
      <c r="O40" s="452"/>
      <c r="P40" s="452"/>
      <c r="Q40" s="452"/>
      <c r="R40" s="452"/>
      <c r="V40" s="388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ht="18" customHeight="1">
      <c r="A41" s="714"/>
      <c r="B41" s="715"/>
      <c r="C41" s="715"/>
      <c r="D41" s="715"/>
      <c r="E41" s="715"/>
      <c r="F41" s="715"/>
      <c r="G41" s="715"/>
      <c r="H41" s="715"/>
      <c r="I41" s="715"/>
      <c r="J41" s="716"/>
      <c r="K41" s="3"/>
      <c r="L41" s="452"/>
      <c r="M41" s="452"/>
      <c r="N41" s="452"/>
      <c r="O41" s="452"/>
      <c r="P41" s="452"/>
      <c r="Q41" s="452"/>
      <c r="R41" s="452"/>
      <c r="V41" s="388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ht="15">
      <c r="A42" s="216"/>
      <c r="B42" s="717" t="s">
        <v>555</v>
      </c>
      <c r="C42" s="717"/>
      <c r="D42" s="717"/>
      <c r="E42" s="455"/>
      <c r="F42" s="19"/>
      <c r="G42" s="19"/>
      <c r="H42" s="19"/>
      <c r="I42" s="19"/>
      <c r="J42" s="178"/>
      <c r="K42" s="456">
        <f>IF(B42="год окончания",год+2000,6)</f>
        <v>2018</v>
      </c>
      <c r="L42" s="452"/>
      <c r="M42" s="452"/>
      <c r="N42" s="452"/>
      <c r="O42" s="452"/>
      <c r="P42" s="452"/>
      <c r="Q42" s="452"/>
      <c r="R42" s="452"/>
      <c r="V42" s="388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ht="3" customHeight="1">
      <c r="A43" s="216"/>
      <c r="B43" s="19"/>
      <c r="C43" s="19"/>
      <c r="D43" s="19"/>
      <c r="E43" s="19"/>
      <c r="F43" s="19"/>
      <c r="G43" s="19"/>
      <c r="H43" s="19"/>
      <c r="I43" s="19"/>
      <c r="J43" s="178"/>
      <c r="K43" s="3"/>
      <c r="L43" s="452"/>
      <c r="M43" s="452"/>
      <c r="N43" s="452"/>
      <c r="O43" s="452"/>
      <c r="P43" s="452"/>
      <c r="Q43" s="452"/>
      <c r="R43" s="452"/>
      <c r="V43" s="388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ht="12.75" customHeight="1">
      <c r="A44" s="713"/>
      <c r="B44" s="715"/>
      <c r="C44" s="715"/>
      <c r="D44" s="715"/>
      <c r="E44" s="715"/>
      <c r="F44" s="715"/>
      <c r="G44" s="715"/>
      <c r="H44" s="715"/>
      <c r="I44" s="715"/>
      <c r="J44" s="716"/>
      <c r="K44" s="101">
        <f>LEN(B44)</f>
        <v>0</v>
      </c>
      <c r="L44" s="454">
        <f>TRIM(вуз_2&amp;IF(год_вуз_2="","",", "&amp;год_вуз_2&amp;"г."))</f>
      </c>
      <c r="M44" s="93"/>
      <c r="N44" s="457"/>
      <c r="O44" s="457"/>
      <c r="P44" s="458"/>
      <c r="Q44" s="458"/>
      <c r="R44" s="458"/>
      <c r="V44" s="388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  <c r="AP44" s="458"/>
      <c r="AQ44" s="458"/>
      <c r="AR44" s="458"/>
      <c r="AS44" s="458"/>
      <c r="AT44" s="458"/>
      <c r="AU44" s="458"/>
      <c r="AV44" s="458"/>
      <c r="AW44" s="458"/>
      <c r="AX44" s="458"/>
      <c r="AY44" s="458"/>
      <c r="AZ44" s="458"/>
      <c r="BA44" s="458"/>
      <c r="BB44" s="458"/>
      <c r="BC44" s="458"/>
      <c r="BD44" s="458"/>
      <c r="BE44" s="458"/>
    </row>
    <row r="45" spans="1:57" ht="18" customHeight="1">
      <c r="A45" s="714"/>
      <c r="B45" s="715"/>
      <c r="C45" s="715"/>
      <c r="D45" s="715"/>
      <c r="E45" s="715"/>
      <c r="F45" s="715"/>
      <c r="G45" s="715"/>
      <c r="H45" s="715"/>
      <c r="I45" s="715"/>
      <c r="J45" s="716"/>
      <c r="K45" s="458"/>
      <c r="L45" s="458"/>
      <c r="M45" s="458"/>
      <c r="N45" s="458"/>
      <c r="O45" s="458"/>
      <c r="P45" s="458"/>
      <c r="Q45" s="458"/>
      <c r="R45" s="458"/>
      <c r="V45" s="38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458"/>
      <c r="BD45" s="458"/>
      <c r="BE45" s="458"/>
    </row>
    <row r="46" spans="1:57" ht="15">
      <c r="A46" s="216"/>
      <c r="B46" s="717" t="s">
        <v>555</v>
      </c>
      <c r="C46" s="717"/>
      <c r="D46" s="717"/>
      <c r="E46" s="455"/>
      <c r="F46" s="19"/>
      <c r="G46" s="19"/>
      <c r="H46" s="19"/>
      <c r="I46" s="19"/>
      <c r="J46" s="178"/>
      <c r="K46" s="456">
        <f>IF(B46="год окончания",год+2000,6)</f>
        <v>2018</v>
      </c>
      <c r="L46" s="452"/>
      <c r="M46" s="452"/>
      <c r="N46" s="452"/>
      <c r="O46" s="452"/>
      <c r="P46" s="452"/>
      <c r="Q46" s="452"/>
      <c r="R46" s="452"/>
      <c r="V46" s="388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ht="2.25" customHeight="1">
      <c r="A47" s="216"/>
      <c r="B47" s="19"/>
      <c r="C47" s="19"/>
      <c r="D47" s="19"/>
      <c r="E47" s="19"/>
      <c r="F47" s="19"/>
      <c r="G47" s="19"/>
      <c r="H47" s="19"/>
      <c r="I47" s="19"/>
      <c r="J47" s="178"/>
      <c r="K47" s="3"/>
      <c r="L47" s="452"/>
      <c r="M47" s="452"/>
      <c r="N47" s="452"/>
      <c r="O47" s="452"/>
      <c r="P47" s="452"/>
      <c r="Q47" s="452"/>
      <c r="R47" s="452"/>
      <c r="V47" s="388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ht="12.75" customHeight="1">
      <c r="A48" s="713"/>
      <c r="B48" s="715"/>
      <c r="C48" s="715"/>
      <c r="D48" s="715"/>
      <c r="E48" s="715"/>
      <c r="F48" s="715"/>
      <c r="G48" s="715"/>
      <c r="H48" s="715"/>
      <c r="I48" s="715"/>
      <c r="J48" s="716"/>
      <c r="K48" s="101">
        <f>LEN(B48)</f>
        <v>0</v>
      </c>
      <c r="L48" s="454">
        <f>TRIM(вуз_3&amp;IF(год_вуз_3="","",", "&amp;год_вуз_3&amp;"г."))</f>
      </c>
      <c r="M48" s="452"/>
      <c r="N48" s="452"/>
      <c r="O48" s="452"/>
      <c r="P48" s="452"/>
      <c r="Q48" s="452"/>
      <c r="R48" s="452"/>
      <c r="V48" s="388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ht="18" customHeight="1">
      <c r="A49" s="714"/>
      <c r="B49" s="715"/>
      <c r="C49" s="715"/>
      <c r="D49" s="715"/>
      <c r="E49" s="715"/>
      <c r="F49" s="715"/>
      <c r="G49" s="715"/>
      <c r="H49" s="715"/>
      <c r="I49" s="715"/>
      <c r="J49" s="716"/>
      <c r="K49" s="3"/>
      <c r="L49" s="452"/>
      <c r="M49" s="452"/>
      <c r="N49" s="452"/>
      <c r="O49" s="452"/>
      <c r="P49" s="452"/>
      <c r="Q49" s="452"/>
      <c r="R49" s="452"/>
      <c r="V49" s="388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15">
      <c r="A50" s="216"/>
      <c r="B50" s="717" t="s">
        <v>555</v>
      </c>
      <c r="C50" s="717"/>
      <c r="D50" s="717"/>
      <c r="E50" s="455"/>
      <c r="F50" s="19"/>
      <c r="G50" s="19"/>
      <c r="H50" s="19"/>
      <c r="I50" s="19"/>
      <c r="J50" s="178"/>
      <c r="K50" s="456">
        <f>IF(B50="год окончания",год+2000,6)</f>
        <v>2018</v>
      </c>
      <c r="L50" s="452"/>
      <c r="M50" s="452"/>
      <c r="N50" s="452"/>
      <c r="O50" s="452"/>
      <c r="P50" s="452"/>
      <c r="Q50" s="452"/>
      <c r="R50" s="452"/>
      <c r="V50" s="388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22" ht="4.5" customHeight="1">
      <c r="A51" s="198"/>
      <c r="B51" s="77"/>
      <c r="C51" s="77"/>
      <c r="D51" s="77"/>
      <c r="E51" s="77"/>
      <c r="F51" s="36"/>
      <c r="G51" s="36"/>
      <c r="H51" s="36"/>
      <c r="I51" s="36"/>
      <c r="J51" s="204"/>
      <c r="K51" s="368"/>
      <c r="V51" s="388"/>
    </row>
    <row r="52" spans="1:22" ht="4.5" customHeight="1" hidden="1">
      <c r="A52" s="198"/>
      <c r="B52" s="77"/>
      <c r="C52" s="77"/>
      <c r="D52" s="77"/>
      <c r="E52" s="77"/>
      <c r="F52" s="36"/>
      <c r="G52" s="36"/>
      <c r="H52" s="36"/>
      <c r="I52" s="36"/>
      <c r="J52" s="204"/>
      <c r="K52" s="368"/>
      <c r="V52" s="388"/>
    </row>
    <row r="53" spans="1:22" ht="29.25" customHeight="1">
      <c r="A53" s="630" t="s">
        <v>583</v>
      </c>
      <c r="B53" s="631"/>
      <c r="C53" s="631"/>
      <c r="D53" s="631"/>
      <c r="E53" s="631"/>
      <c r="F53" s="631"/>
      <c r="G53" s="631"/>
      <c r="H53" s="631"/>
      <c r="I53" s="631"/>
      <c r="J53" s="192"/>
      <c r="K53" s="113"/>
      <c r="L53" s="94"/>
      <c r="M53" s="93"/>
      <c r="N53" s="22"/>
      <c r="O53" s="22"/>
      <c r="P53" s="22"/>
      <c r="Q53" s="22"/>
      <c r="R53" s="22"/>
      <c r="V53" s="388"/>
    </row>
    <row r="54" spans="1:22" ht="3.75" customHeight="1">
      <c r="A54" s="430"/>
      <c r="B54" s="113"/>
      <c r="C54" s="113"/>
      <c r="D54" s="113"/>
      <c r="E54" s="113"/>
      <c r="F54" s="113"/>
      <c r="G54" s="113"/>
      <c r="H54" s="113"/>
      <c r="I54" s="113"/>
      <c r="J54" s="186"/>
      <c r="K54" s="113"/>
      <c r="L54" s="113"/>
      <c r="M54" s="94"/>
      <c r="N54" s="93"/>
      <c r="O54" s="22"/>
      <c r="P54" s="22"/>
      <c r="Q54" s="22"/>
      <c r="R54" s="22"/>
      <c r="V54" s="388"/>
    </row>
    <row r="55" spans="1:57" ht="16.5" customHeight="1">
      <c r="A55" s="216" t="s">
        <v>556</v>
      </c>
      <c r="B55" s="19"/>
      <c r="C55" s="19"/>
      <c r="D55" s="26"/>
      <c r="E55" s="459"/>
      <c r="F55" s="460"/>
      <c r="G55" s="460"/>
      <c r="H55" s="460"/>
      <c r="I55" s="19"/>
      <c r="J55" s="178"/>
      <c r="K55" s="108"/>
      <c r="L55" s="3"/>
      <c r="M55" s="458"/>
      <c r="N55" s="458"/>
      <c r="O55" s="458"/>
      <c r="P55" s="458"/>
      <c r="Q55" s="458"/>
      <c r="R55" s="458"/>
      <c r="V55" s="38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58"/>
      <c r="AT55" s="458"/>
      <c r="AU55" s="458"/>
      <c r="AV55" s="458"/>
      <c r="AW55" s="458"/>
      <c r="AX55" s="458"/>
      <c r="AY55" s="458"/>
      <c r="AZ55" s="458"/>
      <c r="BA55" s="458"/>
      <c r="BB55" s="458"/>
      <c r="BC55" s="458"/>
      <c r="BD55" s="458"/>
      <c r="BE55" s="458"/>
    </row>
    <row r="56" spans="1:57" ht="18.75">
      <c r="A56" s="719" t="s">
        <v>175</v>
      </c>
      <c r="B56" s="720"/>
      <c r="C56" s="720"/>
      <c r="D56" s="461"/>
      <c r="E56" s="718" t="s">
        <v>557</v>
      </c>
      <c r="F56" s="718"/>
      <c r="G56" s="718"/>
      <c r="H56" s="462"/>
      <c r="I56" s="463" t="s">
        <v>558</v>
      </c>
      <c r="J56" s="464"/>
      <c r="K56" s="456">
        <f>IF(E56="год окончания",год+2000,6)</f>
        <v>6</v>
      </c>
      <c r="L56" s="465">
        <f>IF(E56="год окончания",год+2000-6,1)</f>
        <v>1</v>
      </c>
      <c r="M56" s="94">
        <f>IF(A56=N61,""," ("&amp;A56&amp;")")</f>
      </c>
      <c r="V56" s="38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  <c r="AP56" s="458"/>
      <c r="AQ56" s="458"/>
      <c r="AR56" s="458"/>
      <c r="AS56" s="458"/>
      <c r="AT56" s="458"/>
      <c r="AU56" s="458"/>
      <c r="AV56" s="458"/>
      <c r="AW56" s="458"/>
      <c r="AX56" s="458"/>
      <c r="AY56" s="458"/>
      <c r="AZ56" s="458"/>
      <c r="BA56" s="458"/>
      <c r="BB56" s="458"/>
      <c r="BC56" s="458"/>
      <c r="BD56" s="458"/>
      <c r="BE56" s="458"/>
    </row>
    <row r="57" spans="1:57" ht="2.25" customHeight="1">
      <c r="A57" s="466"/>
      <c r="B57" s="461"/>
      <c r="C57" s="461"/>
      <c r="D57" s="461"/>
      <c r="E57" s="461"/>
      <c r="F57" s="461"/>
      <c r="G57" s="461"/>
      <c r="H57" s="461"/>
      <c r="I57" s="461"/>
      <c r="J57" s="178"/>
      <c r="K57" s="3"/>
      <c r="L57" s="94"/>
      <c r="M57" s="93"/>
      <c r="V57" s="388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  <c r="AP57" s="458"/>
      <c r="AQ57" s="458"/>
      <c r="AR57" s="458"/>
      <c r="AS57" s="458"/>
      <c r="AT57" s="458"/>
      <c r="AU57" s="458"/>
      <c r="AV57" s="458"/>
      <c r="AW57" s="458"/>
      <c r="AX57" s="458"/>
      <c r="AY57" s="458"/>
      <c r="AZ57" s="458"/>
      <c r="BA57" s="458"/>
      <c r="BB57" s="458"/>
      <c r="BC57" s="458"/>
      <c r="BD57" s="458"/>
      <c r="BE57" s="458"/>
    </row>
    <row r="58" spans="1:57" ht="16.5" customHeight="1">
      <c r="A58" s="216"/>
      <c r="B58" s="715"/>
      <c r="C58" s="715"/>
      <c r="D58" s="715"/>
      <c r="E58" s="715"/>
      <c r="F58" s="715"/>
      <c r="G58" s="715"/>
      <c r="H58" s="715"/>
      <c r="I58" s="715"/>
      <c r="J58" s="716"/>
      <c r="K58" s="108"/>
      <c r="L58" s="454">
        <f>IF(A56=N61,"",IF(B58="","",TRIM(B58)&amp;IF(H56+J56&gt;0,M58,"")))</f>
      </c>
      <c r="M58" s="454" t="str">
        <f>", "&amp;H56&amp;IF(E56="год окончания","г."," курс")</f>
        <v>,  курс</v>
      </c>
      <c r="N58" s="458"/>
      <c r="O58" s="458"/>
      <c r="P58" s="458"/>
      <c r="Q58" s="458"/>
      <c r="R58" s="458"/>
      <c r="V58" s="38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8"/>
      <c r="AS58" s="458"/>
      <c r="AT58" s="458"/>
      <c r="AU58" s="458"/>
      <c r="AV58" s="458"/>
      <c r="AW58" s="458"/>
      <c r="AX58" s="458"/>
      <c r="AY58" s="458"/>
      <c r="AZ58" s="458"/>
      <c r="BA58" s="458"/>
      <c r="BB58" s="458"/>
      <c r="BC58" s="458"/>
      <c r="BD58" s="458"/>
      <c r="BE58" s="458"/>
    </row>
    <row r="59" spans="1:57" ht="16.5" customHeight="1">
      <c r="A59" s="216"/>
      <c r="B59" s="715"/>
      <c r="C59" s="715"/>
      <c r="D59" s="715"/>
      <c r="E59" s="715"/>
      <c r="F59" s="715"/>
      <c r="G59" s="715"/>
      <c r="H59" s="715"/>
      <c r="I59" s="715"/>
      <c r="J59" s="716"/>
      <c r="K59" s="467" t="s">
        <v>559</v>
      </c>
      <c r="L59" s="468" t="s">
        <v>560</v>
      </c>
      <c r="M59" s="93"/>
      <c r="N59" s="469" t="s">
        <v>561</v>
      </c>
      <c r="O59" s="22"/>
      <c r="P59" s="22"/>
      <c r="R59" s="22"/>
      <c r="V59" s="388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  <c r="AP59" s="458"/>
      <c r="AQ59" s="458"/>
      <c r="AR59" s="458"/>
      <c r="AS59" s="458"/>
      <c r="AT59" s="458"/>
      <c r="AU59" s="458"/>
      <c r="AV59" s="458"/>
      <c r="AW59" s="458"/>
      <c r="AX59" s="458"/>
      <c r="AY59" s="458"/>
      <c r="AZ59" s="458"/>
      <c r="BA59" s="458"/>
      <c r="BB59" s="458"/>
      <c r="BC59" s="458"/>
      <c r="BD59" s="458"/>
      <c r="BE59" s="458"/>
    </row>
    <row r="60" spans="1:57" ht="12.75" customHeight="1">
      <c r="A60" s="216"/>
      <c r="B60" s="715"/>
      <c r="C60" s="715"/>
      <c r="D60" s="715"/>
      <c r="E60" s="715"/>
      <c r="F60" s="715"/>
      <c r="G60" s="715"/>
      <c r="H60" s="715"/>
      <c r="I60" s="715"/>
      <c r="J60" s="716"/>
      <c r="K60" s="470"/>
      <c r="L60" s="445" t="s">
        <v>562</v>
      </c>
      <c r="M60" s="93"/>
      <c r="N60" s="471"/>
      <c r="O60" s="22"/>
      <c r="P60" s="22"/>
      <c r="R60" s="22"/>
      <c r="V60" s="38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S60" s="458"/>
      <c r="AT60" s="458"/>
      <c r="AU60" s="458"/>
      <c r="AV60" s="458"/>
      <c r="AW60" s="458"/>
      <c r="AX60" s="458"/>
      <c r="AY60" s="458"/>
      <c r="AZ60" s="458"/>
      <c r="BA60" s="458"/>
      <c r="BB60" s="458"/>
      <c r="BC60" s="458"/>
      <c r="BD60" s="458"/>
      <c r="BE60" s="458"/>
    </row>
    <row r="61" spans="1:57" ht="6" customHeight="1">
      <c r="A61" s="472"/>
      <c r="B61" s="19"/>
      <c r="C61" s="19"/>
      <c r="D61" s="19"/>
      <c r="E61" s="19"/>
      <c r="F61" s="19"/>
      <c r="G61" s="473"/>
      <c r="H61" s="473"/>
      <c r="I61" s="473"/>
      <c r="J61" s="474"/>
      <c r="K61" s="475"/>
      <c r="L61" s="445" t="s">
        <v>563</v>
      </c>
      <c r="M61" s="101"/>
      <c r="N61" s="468" t="s">
        <v>175</v>
      </c>
      <c r="O61" s="22"/>
      <c r="P61" s="22"/>
      <c r="R61" s="22"/>
      <c r="V61" s="38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  <c r="AP61" s="458"/>
      <c r="AQ61" s="458"/>
      <c r="AR61" s="458"/>
      <c r="AS61" s="458"/>
      <c r="AT61" s="458"/>
      <c r="AU61" s="458"/>
      <c r="AV61" s="458"/>
      <c r="AW61" s="458"/>
      <c r="AX61" s="458"/>
      <c r="AY61" s="458"/>
      <c r="AZ61" s="458"/>
      <c r="BA61" s="458"/>
      <c r="BB61" s="458"/>
      <c r="BC61" s="458"/>
      <c r="BD61" s="458"/>
      <c r="BE61" s="458"/>
    </row>
    <row r="62" spans="1:22" ht="15" hidden="1">
      <c r="A62" s="193"/>
      <c r="B62" s="194"/>
      <c r="C62" s="194"/>
      <c r="D62" s="194"/>
      <c r="E62" s="194"/>
      <c r="F62" s="194"/>
      <c r="G62" s="195"/>
      <c r="H62" s="476" t="str">
        <f>IF(A56="нет","нет","да")</f>
        <v>нет</v>
      </c>
      <c r="I62" s="196"/>
      <c r="J62" s="197"/>
      <c r="K62" s="470"/>
      <c r="L62" s="445" t="s">
        <v>564</v>
      </c>
      <c r="M62" s="101"/>
      <c r="N62" s="468" t="s">
        <v>565</v>
      </c>
      <c r="O62" s="22"/>
      <c r="P62" s="22"/>
      <c r="R62" s="22"/>
      <c r="V62" s="388"/>
    </row>
    <row r="63" spans="1:22" ht="15">
      <c r="A63" s="710" t="s">
        <v>560</v>
      </c>
      <c r="B63" s="711"/>
      <c r="C63" s="711"/>
      <c r="D63" s="711"/>
      <c r="E63" s="711"/>
      <c r="F63" s="19"/>
      <c r="G63" s="477"/>
      <c r="H63" s="478" t="str">
        <f>IF(G63&gt;=D166,"да","нет")</f>
        <v>нет</v>
      </c>
      <c r="I63" s="479" t="s">
        <v>566</v>
      </c>
      <c r="J63" s="178"/>
      <c r="K63" s="108"/>
      <c r="L63" s="445" t="s">
        <v>567</v>
      </c>
      <c r="M63" s="101"/>
      <c r="N63" s="468" t="s">
        <v>554</v>
      </c>
      <c r="O63" s="22"/>
      <c r="P63" s="22"/>
      <c r="R63" s="22"/>
      <c r="T63" s="22"/>
      <c r="V63" s="388"/>
    </row>
    <row r="64" spans="1:22" ht="3.75" customHeight="1">
      <c r="A64" s="480"/>
      <c r="B64" s="19"/>
      <c r="C64" s="19"/>
      <c r="D64" s="77"/>
      <c r="E64" s="77"/>
      <c r="F64" s="77"/>
      <c r="G64" s="19"/>
      <c r="H64" s="77"/>
      <c r="I64" s="77"/>
      <c r="J64" s="481"/>
      <c r="K64" s="108"/>
      <c r="L64" s="94"/>
      <c r="M64" s="93"/>
      <c r="N64" s="96"/>
      <c r="T64" s="22"/>
      <c r="V64" s="388"/>
    </row>
    <row r="65" spans="1:22" ht="15">
      <c r="A65" s="198" t="s">
        <v>492</v>
      </c>
      <c r="B65" s="77"/>
      <c r="C65" s="77"/>
      <c r="D65" s="77"/>
      <c r="E65" s="77"/>
      <c r="F65" s="19"/>
      <c r="G65" s="624" t="s">
        <v>175</v>
      </c>
      <c r="H65" s="624"/>
      <c r="I65" s="77"/>
      <c r="J65" s="481"/>
      <c r="K65" s="19"/>
      <c r="L65" s="101"/>
      <c r="M65" s="202"/>
      <c r="N65" s="22"/>
      <c r="O65" s="22"/>
      <c r="P65" s="22"/>
      <c r="Q65" s="22"/>
      <c r="R65" s="22"/>
      <c r="V65" s="388"/>
    </row>
    <row r="66" spans="1:22" ht="15" customHeight="1">
      <c r="A66" s="632" t="s">
        <v>357</v>
      </c>
      <c r="B66" s="633"/>
      <c r="C66" s="633"/>
      <c r="D66" s="633"/>
      <c r="E66" s="633"/>
      <c r="F66" s="633"/>
      <c r="G66" s="624" t="s">
        <v>175</v>
      </c>
      <c r="H66" s="624"/>
      <c r="I66" s="77"/>
      <c r="J66" s="481"/>
      <c r="K66" s="19"/>
      <c r="L66" s="101"/>
      <c r="M66" s="203">
        <v>0</v>
      </c>
      <c r="N66" s="22"/>
      <c r="O66" s="22"/>
      <c r="P66" s="22"/>
      <c r="Q66" s="22"/>
      <c r="R66" s="22"/>
      <c r="V66" s="388"/>
    </row>
    <row r="67" spans="1:22" ht="5.25" customHeight="1">
      <c r="A67" s="632"/>
      <c r="B67" s="633"/>
      <c r="C67" s="633"/>
      <c r="D67" s="633"/>
      <c r="E67" s="633"/>
      <c r="F67" s="633"/>
      <c r="G67" s="77"/>
      <c r="H67" s="77"/>
      <c r="I67" s="200"/>
      <c r="J67" s="204"/>
      <c r="K67" s="19"/>
      <c r="L67" s="101"/>
      <c r="M67" s="203"/>
      <c r="N67" s="22"/>
      <c r="O67" s="22"/>
      <c r="P67" s="22"/>
      <c r="Q67" s="22"/>
      <c r="R67" s="22"/>
      <c r="V67" s="388"/>
    </row>
    <row r="68" spans="1:22" ht="2.25" customHeight="1">
      <c r="A68" s="198"/>
      <c r="B68" s="77"/>
      <c r="C68" s="77"/>
      <c r="D68" s="77"/>
      <c r="E68" s="77"/>
      <c r="F68" s="19"/>
      <c r="G68" s="77"/>
      <c r="H68" s="77"/>
      <c r="I68" s="36"/>
      <c r="J68" s="204"/>
      <c r="K68" s="19"/>
      <c r="L68" s="101"/>
      <c r="M68" s="202"/>
      <c r="N68" s="22"/>
      <c r="O68" s="22"/>
      <c r="P68" s="22"/>
      <c r="Q68" s="22"/>
      <c r="R68" s="22"/>
      <c r="V68" s="388"/>
    </row>
    <row r="69" spans="1:22" ht="15">
      <c r="A69" s="198" t="s">
        <v>235</v>
      </c>
      <c r="B69" s="77"/>
      <c r="C69" s="77"/>
      <c r="D69" s="77"/>
      <c r="E69" s="77"/>
      <c r="F69" s="19"/>
      <c r="G69" s="624" t="s">
        <v>175</v>
      </c>
      <c r="H69" s="624"/>
      <c r="I69" s="200"/>
      <c r="J69" s="204"/>
      <c r="K69" s="19"/>
      <c r="L69" s="101"/>
      <c r="M69" s="203">
        <v>0</v>
      </c>
      <c r="N69" s="22"/>
      <c r="O69" s="22"/>
      <c r="P69" s="22"/>
      <c r="Q69" s="22"/>
      <c r="R69" s="22"/>
      <c r="V69" s="388"/>
    </row>
    <row r="70" spans="1:22" ht="15">
      <c r="A70" s="198" t="s">
        <v>236</v>
      </c>
      <c r="B70" s="77"/>
      <c r="C70" s="77"/>
      <c r="D70" s="77"/>
      <c r="E70" s="77"/>
      <c r="F70" s="19"/>
      <c r="G70" s="624" t="s">
        <v>175</v>
      </c>
      <c r="H70" s="624"/>
      <c r="I70" s="200" t="s">
        <v>237</v>
      </c>
      <c r="J70" s="201"/>
      <c r="K70" s="19"/>
      <c r="L70" s="101"/>
      <c r="M70" s="203">
        <v>0</v>
      </c>
      <c r="N70" s="22"/>
      <c r="O70" s="22"/>
      <c r="P70" s="22"/>
      <c r="Q70" s="22"/>
      <c r="R70" s="22"/>
      <c r="V70" s="388"/>
    </row>
    <row r="71" spans="1:22" ht="15" hidden="1">
      <c r="A71" s="205" t="s">
        <v>238</v>
      </c>
      <c r="B71" s="206" t="s">
        <v>247</v>
      </c>
      <c r="C71" s="19"/>
      <c r="D71" s="19"/>
      <c r="E71" s="19"/>
      <c r="F71" s="207" t="str">
        <f>IF(COUNTIF(G61:H70,"да"),"нет","да")</f>
        <v>да</v>
      </c>
      <c r="G71" s="19"/>
      <c r="H71" s="19"/>
      <c r="I71" s="19"/>
      <c r="J71" s="178"/>
      <c r="K71" s="208"/>
      <c r="L71" s="101"/>
      <c r="M71" s="209"/>
      <c r="N71" s="19"/>
      <c r="V71" s="388"/>
    </row>
    <row r="72" spans="1:22" ht="12.75" hidden="1">
      <c r="A72" s="627" t="str">
        <f>IF(вывод1="да",_72ч,"")</f>
        <v>В течение одного года пройти обучение по программе повышения квалификации. </v>
      </c>
      <c r="B72" s="628"/>
      <c r="C72" s="628"/>
      <c r="D72" s="628"/>
      <c r="E72" s="628"/>
      <c r="F72" s="628"/>
      <c r="G72" s="628"/>
      <c r="H72" s="628"/>
      <c r="I72" s="628"/>
      <c r="J72" s="629"/>
      <c r="K72" s="208"/>
      <c r="L72" s="101"/>
      <c r="M72" s="209"/>
      <c r="N72" s="19"/>
      <c r="V72" s="388"/>
    </row>
    <row r="73" spans="1:22" ht="12.75" hidden="1">
      <c r="A73" s="627"/>
      <c r="B73" s="628"/>
      <c r="C73" s="628"/>
      <c r="D73" s="628"/>
      <c r="E73" s="628"/>
      <c r="F73" s="628"/>
      <c r="G73" s="628"/>
      <c r="H73" s="628"/>
      <c r="I73" s="628"/>
      <c r="J73" s="629"/>
      <c r="K73" s="208"/>
      <c r="L73" s="101"/>
      <c r="M73" s="209"/>
      <c r="N73" s="19"/>
      <c r="V73" s="388"/>
    </row>
    <row r="74" spans="1:22" s="108" customFormat="1" ht="6" customHeight="1">
      <c r="A74" s="198"/>
      <c r="B74" s="77"/>
      <c r="C74" s="77"/>
      <c r="D74" s="77"/>
      <c r="E74" s="77"/>
      <c r="F74" s="77"/>
      <c r="G74" s="77"/>
      <c r="H74" s="77"/>
      <c r="I74" s="36"/>
      <c r="J74" s="204"/>
      <c r="K74" s="210"/>
      <c r="L74" s="211"/>
      <c r="M74" s="212"/>
      <c r="N74" s="182"/>
      <c r="S74" s="3"/>
      <c r="V74" s="388"/>
    </row>
    <row r="75" spans="1:22" ht="15">
      <c r="A75" s="630" t="s">
        <v>239</v>
      </c>
      <c r="B75" s="631"/>
      <c r="C75" s="631"/>
      <c r="D75" s="631"/>
      <c r="E75" s="631"/>
      <c r="F75" s="631"/>
      <c r="G75" s="631"/>
      <c r="H75" s="631"/>
      <c r="I75" s="631"/>
      <c r="J75" s="213"/>
      <c r="K75" s="210"/>
      <c r="L75" s="101"/>
      <c r="M75" s="212"/>
      <c r="N75" s="182"/>
      <c r="O75" s="108"/>
      <c r="P75" s="108"/>
      <c r="Q75" s="108"/>
      <c r="R75" s="108"/>
      <c r="V75" s="388"/>
    </row>
    <row r="76" spans="1:22" ht="38.25" customHeight="1">
      <c r="A76" s="674" t="s">
        <v>277</v>
      </c>
      <c r="B76" s="675"/>
      <c r="C76" s="675"/>
      <c r="D76" s="675"/>
      <c r="E76" s="675"/>
      <c r="F76" s="675"/>
      <c r="G76" s="675"/>
      <c r="H76" s="675"/>
      <c r="J76" s="178"/>
      <c r="K76" s="208"/>
      <c r="V76" s="388"/>
    </row>
    <row r="77" spans="1:22" ht="15">
      <c r="A77" s="674"/>
      <c r="B77" s="675"/>
      <c r="C77" s="675"/>
      <c r="D77" s="675"/>
      <c r="E77" s="675"/>
      <c r="F77" s="675"/>
      <c r="G77" s="675"/>
      <c r="H77" s="675"/>
      <c r="I77" s="199" t="s">
        <v>175</v>
      </c>
      <c r="J77" s="178"/>
      <c r="K77" s="208"/>
      <c r="V77" s="388"/>
    </row>
    <row r="78" spans="1:22" ht="15.75" customHeight="1">
      <c r="A78" s="674" t="s">
        <v>278</v>
      </c>
      <c r="B78" s="675"/>
      <c r="C78" s="675"/>
      <c r="D78" s="675"/>
      <c r="E78" s="675"/>
      <c r="F78" s="675"/>
      <c r="G78" s="675"/>
      <c r="H78" s="675"/>
      <c r="I78" s="19"/>
      <c r="J78" s="178"/>
      <c r="K78" s="214"/>
      <c r="M78" s="209"/>
      <c r="N78" s="19"/>
      <c r="V78" s="388"/>
    </row>
    <row r="79" spans="1:22" ht="15.75">
      <c r="A79" s="674"/>
      <c r="B79" s="675"/>
      <c r="C79" s="675"/>
      <c r="D79" s="675"/>
      <c r="E79" s="675"/>
      <c r="F79" s="675"/>
      <c r="G79" s="675"/>
      <c r="H79" s="675"/>
      <c r="I79" s="199" t="s">
        <v>175</v>
      </c>
      <c r="J79" s="215" t="str">
        <f>IF(OR(G65="да",G66="да"),"да",рек2)</f>
        <v>нет</v>
      </c>
      <c r="K79" s="208"/>
      <c r="L79" s="208"/>
      <c r="V79" s="388"/>
    </row>
    <row r="80" spans="1:22" ht="15">
      <c r="A80" s="674"/>
      <c r="B80" s="675"/>
      <c r="C80" s="675"/>
      <c r="D80" s="675"/>
      <c r="E80" s="675"/>
      <c r="F80" s="675"/>
      <c r="G80" s="675"/>
      <c r="H80" s="675"/>
      <c r="I80" s="262"/>
      <c r="J80" s="186"/>
      <c r="K80" s="208"/>
      <c r="V80" s="388"/>
    </row>
    <row r="81" spans="1:22" ht="15" hidden="1">
      <c r="A81" s="205" t="s">
        <v>238</v>
      </c>
      <c r="B81" s="206" t="s">
        <v>240</v>
      </c>
      <c r="C81" s="19"/>
      <c r="D81" s="19"/>
      <c r="E81" s="19"/>
      <c r="F81" s="207" t="str">
        <f>IF(AND($J$79="нет",рек3="нет"),"да","нет")</f>
        <v>да</v>
      </c>
      <c r="G81" s="19"/>
      <c r="H81" s="19"/>
      <c r="I81" s="19"/>
      <c r="J81" s="178"/>
      <c r="K81" s="208"/>
      <c r="L81" s="267"/>
      <c r="V81" s="388"/>
    </row>
    <row r="82" spans="1:22" ht="12.75" customHeight="1" hidden="1">
      <c r="A82" s="627" t="str">
        <f>IF(F81="да",_дпо,"")</f>
        <v>Получить  дополнительное профессиональное образование по направлению  "Образование и педагогика"   </v>
      </c>
      <c r="B82" s="628"/>
      <c r="C82" s="628"/>
      <c r="D82" s="628"/>
      <c r="E82" s="628"/>
      <c r="F82" s="628"/>
      <c r="G82" s="628"/>
      <c r="H82" s="628"/>
      <c r="I82" s="628"/>
      <c r="J82" s="629"/>
      <c r="K82" s="208"/>
      <c r="L82" s="267"/>
      <c r="V82" s="388"/>
    </row>
    <row r="83" spans="1:22" ht="12.75" customHeight="1" hidden="1">
      <c r="A83" s="627"/>
      <c r="B83" s="628"/>
      <c r="C83" s="628"/>
      <c r="D83" s="628"/>
      <c r="E83" s="628"/>
      <c r="F83" s="628"/>
      <c r="G83" s="628"/>
      <c r="H83" s="628"/>
      <c r="I83" s="628"/>
      <c r="J83" s="629"/>
      <c r="K83" s="208"/>
      <c r="L83" s="267"/>
      <c r="V83" s="388"/>
    </row>
    <row r="84" spans="1:22" ht="4.5" customHeight="1">
      <c r="A84" s="216"/>
      <c r="B84" s="19"/>
      <c r="C84" s="19"/>
      <c r="D84" s="19"/>
      <c r="E84" s="19"/>
      <c r="F84" s="19"/>
      <c r="G84" s="19"/>
      <c r="H84" s="19"/>
      <c r="I84" s="19"/>
      <c r="J84" s="178"/>
      <c r="K84" s="208"/>
      <c r="V84" s="388"/>
    </row>
    <row r="85" spans="1:22" ht="15">
      <c r="A85" s="678" t="s">
        <v>155</v>
      </c>
      <c r="B85" s="631"/>
      <c r="C85" s="631"/>
      <c r="D85" s="631"/>
      <c r="E85" s="631"/>
      <c r="F85" s="631"/>
      <c r="G85" s="631"/>
      <c r="H85" s="631"/>
      <c r="I85" s="631"/>
      <c r="J85" s="192"/>
      <c r="V85" s="388"/>
    </row>
    <row r="86" spans="1:22" s="108" customFormat="1" ht="6.75" customHeight="1">
      <c r="A86" s="217"/>
      <c r="B86" s="113"/>
      <c r="C86" s="113"/>
      <c r="D86" s="113"/>
      <c r="E86" s="113"/>
      <c r="F86" s="113"/>
      <c r="G86" s="113"/>
      <c r="H86" s="113"/>
      <c r="I86" s="113"/>
      <c r="J86" s="186"/>
      <c r="K86" s="116"/>
      <c r="L86" s="117"/>
      <c r="M86" s="118"/>
      <c r="S86" s="3"/>
      <c r="V86" s="388"/>
    </row>
    <row r="87" spans="1:22" s="108" customFormat="1" ht="15">
      <c r="A87" s="185" t="s">
        <v>220</v>
      </c>
      <c r="B87" s="113"/>
      <c r="C87" s="113"/>
      <c r="D87" s="113"/>
      <c r="E87" s="113"/>
      <c r="F87" s="105">
        <v>2</v>
      </c>
      <c r="G87" s="113"/>
      <c r="H87" s="113"/>
      <c r="I87" s="113"/>
      <c r="J87" s="186"/>
      <c r="K87" s="116"/>
      <c r="L87" s="117"/>
      <c r="M87" s="118"/>
      <c r="S87" s="3"/>
      <c r="V87" s="388"/>
    </row>
    <row r="88" spans="1:22" ht="9" customHeight="1">
      <c r="A88" s="187"/>
      <c r="B88" s="22"/>
      <c r="C88" s="22"/>
      <c r="D88" s="22"/>
      <c r="E88" s="22"/>
      <c r="F88" s="22"/>
      <c r="G88" s="22"/>
      <c r="H88" s="22"/>
      <c r="I88" s="22"/>
      <c r="J88" s="188"/>
      <c r="V88" s="388"/>
    </row>
    <row r="89" spans="1:22" ht="15">
      <c r="A89" s="189" t="s">
        <v>143</v>
      </c>
      <c r="B89" s="22"/>
      <c r="C89" s="677" t="s">
        <v>358</v>
      </c>
      <c r="D89" s="677"/>
      <c r="E89" s="677"/>
      <c r="F89" s="677"/>
      <c r="G89" s="677"/>
      <c r="H89" s="677"/>
      <c r="I89" s="677"/>
      <c r="J89" s="188"/>
      <c r="K89" s="95" t="str">
        <f>IF(LEN(L89)&gt;40,M89,L89)</f>
        <v>Соколова Татьяна Ивановна</v>
      </c>
      <c r="L89" s="93" t="str">
        <f>PROPER(TRIM(C89))</f>
        <v>Соколова Татьяна Ивановна</v>
      </c>
      <c r="M89" s="96" t="str">
        <f>IF(L89="","",LEFT(L89,(FIND(" ",L89)+1))&amp;"."&amp;MID(L89,FIND(" ",L89,FIND(" ",L89)+1)+1,1)&amp;".")</f>
        <v>Соколова Т.И.</v>
      </c>
      <c r="V89" s="388"/>
    </row>
    <row r="90" spans="1:22" ht="18">
      <c r="A90" s="190" t="s">
        <v>582</v>
      </c>
      <c r="B90" s="22"/>
      <c r="C90" s="676" t="s">
        <v>147</v>
      </c>
      <c r="D90" s="676"/>
      <c r="E90" s="676"/>
      <c r="F90" s="676"/>
      <c r="G90" s="676"/>
      <c r="H90" s="676"/>
      <c r="I90" s="180"/>
      <c r="J90" s="188"/>
      <c r="K90" s="95"/>
      <c r="V90" s="388"/>
    </row>
    <row r="91" spans="2:22" ht="15">
      <c r="B91" s="120" t="s">
        <v>218</v>
      </c>
      <c r="C91" s="677"/>
      <c r="D91" s="677"/>
      <c r="E91" s="677"/>
      <c r="F91" s="677"/>
      <c r="G91" s="677"/>
      <c r="H91" s="677"/>
      <c r="I91" s="677"/>
      <c r="J91" s="188"/>
      <c r="K91" s="95">
        <f>IF(LEN(L91)&gt;40,M91,L91)</f>
      </c>
      <c r="L91" s="93">
        <f>PROPER(TRIM(C91))</f>
      </c>
      <c r="M91" s="96">
        <f>IF(L91="","",LEFT(L91,(FIND(" ",L91)+1))&amp;"."&amp;MID(L91,FIND(" ",L91,FIND(" ",L91)+1)+1,1)&amp;".")</f>
      </c>
      <c r="V91" s="388"/>
    </row>
    <row r="92" spans="1:22" ht="18">
      <c r="A92" s="190"/>
      <c r="B92" s="120"/>
      <c r="C92" s="676" t="s">
        <v>147</v>
      </c>
      <c r="D92" s="676"/>
      <c r="E92" s="676"/>
      <c r="F92" s="676"/>
      <c r="G92" s="676"/>
      <c r="H92" s="676"/>
      <c r="I92" s="180"/>
      <c r="J92" s="188"/>
      <c r="V92" s="388"/>
    </row>
    <row r="93" spans="1:22" ht="15">
      <c r="A93" s="190"/>
      <c r="B93" s="120" t="str">
        <f>IF($F$87&gt;1,"2)","")</f>
        <v>2)</v>
      </c>
      <c r="C93" s="677"/>
      <c r="D93" s="677"/>
      <c r="E93" s="677"/>
      <c r="F93" s="677"/>
      <c r="G93" s="677"/>
      <c r="H93" s="677"/>
      <c r="I93" s="677"/>
      <c r="J93" s="188"/>
      <c r="K93" s="95">
        <f>IF(LEN(L93)&gt;40,M93,L93)</f>
      </c>
      <c r="L93" s="93">
        <f>PROPER(TRIM(C93))</f>
      </c>
      <c r="M93" s="96">
        <f>IF(L93="","",LEFT(L93,(FIND(" ",L93)+1))&amp;"."&amp;MID(L93,FIND(" ",L93,FIND(" ",L93)+1)+1,1)&amp;".")</f>
      </c>
      <c r="V93" s="388"/>
    </row>
    <row r="94" spans="1:22" ht="18">
      <c r="A94" s="190"/>
      <c r="B94" s="120"/>
      <c r="C94" s="676" t="s">
        <v>147</v>
      </c>
      <c r="D94" s="676"/>
      <c r="E94" s="676"/>
      <c r="F94" s="676"/>
      <c r="G94" s="676"/>
      <c r="H94" s="676"/>
      <c r="I94" s="180"/>
      <c r="J94" s="188"/>
      <c r="V94" s="388"/>
    </row>
    <row r="95" spans="1:22" ht="15" hidden="1">
      <c r="A95" s="191"/>
      <c r="B95" s="120">
        <f>IF($F$87&gt;2,"3)","")</f>
      </c>
      <c r="C95" s="677"/>
      <c r="D95" s="677"/>
      <c r="E95" s="677"/>
      <c r="F95" s="677"/>
      <c r="G95" s="677"/>
      <c r="H95" s="677"/>
      <c r="I95" s="677"/>
      <c r="J95" s="188"/>
      <c r="K95" s="95">
        <f>IF(LEN(L95)&gt;40,M95,L95)</f>
      </c>
      <c r="L95" s="93">
        <f>PROPER(TRIM(C95))</f>
      </c>
      <c r="M95" s="96">
        <f>IF(L95="","",LEFT(L95,(FIND(" ",L95)+1))&amp;"."&amp;MID(L95,FIND(" ",L95,FIND(" ",L95)+1)+1,1)&amp;".")</f>
      </c>
      <c r="V95" s="388"/>
    </row>
    <row r="96" spans="1:22" ht="18" hidden="1">
      <c r="A96" s="191"/>
      <c r="B96" s="70"/>
      <c r="C96" s="676" t="s">
        <v>147</v>
      </c>
      <c r="D96" s="676"/>
      <c r="E96" s="676"/>
      <c r="F96" s="676"/>
      <c r="G96" s="676"/>
      <c r="H96" s="676"/>
      <c r="I96" s="180"/>
      <c r="J96" s="188"/>
      <c r="V96" s="388"/>
    </row>
    <row r="97" spans="1:22" ht="12.75" hidden="1">
      <c r="A97" s="216"/>
      <c r="B97" s="19"/>
      <c r="C97" s="19"/>
      <c r="D97" s="19"/>
      <c r="E97" s="19"/>
      <c r="F97" s="19"/>
      <c r="G97" s="19"/>
      <c r="H97" s="19"/>
      <c r="I97" s="19"/>
      <c r="J97" s="178"/>
      <c r="V97" s="388"/>
    </row>
    <row r="98" spans="1:22" ht="15.75">
      <c r="A98" s="218" t="s">
        <v>153</v>
      </c>
      <c r="B98" s="66" t="s">
        <v>154</v>
      </c>
      <c r="C98" s="268">
        <v>1</v>
      </c>
      <c r="D98" s="61" t="s">
        <v>108</v>
      </c>
      <c r="E98" s="268" t="s">
        <v>234</v>
      </c>
      <c r="F98" s="67"/>
      <c r="G98" s="68">
        <v>20</v>
      </c>
      <c r="H98" s="106">
        <v>18</v>
      </c>
      <c r="I98" s="181" t="s">
        <v>109</v>
      </c>
      <c r="J98" s="219"/>
      <c r="V98" s="388"/>
    </row>
    <row r="99" spans="1:22" ht="7.5" customHeight="1">
      <c r="A99" s="220"/>
      <c r="B99" s="221"/>
      <c r="C99" s="221"/>
      <c r="D99" s="221"/>
      <c r="E99" s="221"/>
      <c r="F99" s="221"/>
      <c r="G99" s="221"/>
      <c r="H99" s="221"/>
      <c r="I99" s="221"/>
      <c r="J99" s="179"/>
      <c r="V99" s="388"/>
    </row>
    <row r="100" spans="1:22" ht="15">
      <c r="A100" s="622">
        <f>IF(F101="","","Результат экспертизы:")</f>
      </c>
      <c r="B100" s="623"/>
      <c r="C100" s="623"/>
      <c r="D100" s="623"/>
      <c r="E100" s="623"/>
      <c r="F100" s="623"/>
      <c r="G100" s="623"/>
      <c r="H100" s="623"/>
      <c r="I100" s="623"/>
      <c r="J100" s="370"/>
      <c r="K100" s="182"/>
      <c r="L100" s="94"/>
      <c r="M100" s="93"/>
      <c r="N100" s="96"/>
      <c r="R100" s="19"/>
      <c r="T100" s="19"/>
      <c r="V100" s="388"/>
    </row>
    <row r="101" spans="1:22" ht="27" customHeight="1">
      <c r="A101" s="371"/>
      <c r="B101" s="372"/>
      <c r="C101" s="372"/>
      <c r="D101" s="372"/>
      <c r="E101" s="373">
        <f>IF(F101="","","Всего набрано аттестуемым педагогическим работником  ")</f>
      </c>
      <c r="F101" s="374">
        <f>_vsego</f>
      </c>
      <c r="G101" s="175">
        <f>IF(F101="","","баллов.")</f>
      </c>
      <c r="H101" s="372"/>
      <c r="I101" s="175">
        <f>IF(F101="","","(мин. П-"&amp;_порог_п&amp;", В-"&amp;_порог_в&amp;")")</f>
      </c>
      <c r="J101" s="375"/>
      <c r="K101" s="182"/>
      <c r="L101" s="94"/>
      <c r="M101" s="93"/>
      <c r="N101" s="96"/>
      <c r="R101" s="19"/>
      <c r="T101" s="19"/>
      <c r="V101" s="388"/>
    </row>
    <row r="102" spans="1:22" ht="3.75" customHeight="1">
      <c r="A102" s="371"/>
      <c r="B102" s="372"/>
      <c r="C102" s="372"/>
      <c r="D102" s="372"/>
      <c r="E102" s="376"/>
      <c r="F102" s="377"/>
      <c r="G102" s="372"/>
      <c r="H102" s="372"/>
      <c r="I102" s="372"/>
      <c r="J102" s="375"/>
      <c r="K102" s="182"/>
      <c r="L102" s="94"/>
      <c r="M102" s="93"/>
      <c r="N102" s="96"/>
      <c r="R102" s="19"/>
      <c r="T102" s="19"/>
      <c r="V102" s="388"/>
    </row>
    <row r="103" spans="1:22" ht="32.25" customHeight="1">
      <c r="A103" s="679">
        <f>IF(F101="","",CONCATENATE("Уровень квалификации ",ЭЗ!D460,ЭЗ!H460," требованиям, предъявляемым к заявленной ",ЭЗ!F461,ЭЗ!G461))</f>
      </c>
      <c r="B103" s="680"/>
      <c r="C103" s="680"/>
      <c r="D103" s="680"/>
      <c r="E103" s="680"/>
      <c r="F103" s="680"/>
      <c r="G103" s="680"/>
      <c r="H103" s="680"/>
      <c r="I103" s="680"/>
      <c r="J103" s="681"/>
      <c r="K103" s="182"/>
      <c r="L103" s="94"/>
      <c r="M103" s="93"/>
      <c r="N103" s="96"/>
      <c r="R103" s="19"/>
      <c r="T103" s="19"/>
      <c r="V103" s="388"/>
    </row>
    <row r="104" spans="1:22" ht="34.5" customHeight="1">
      <c r="A104" s="682">
        <f>IF(F101="","","Рекомендации: "&amp;ЭЗ!A479)</f>
      </c>
      <c r="B104" s="683"/>
      <c r="C104" s="683"/>
      <c r="D104" s="683"/>
      <c r="E104" s="683"/>
      <c r="F104" s="683"/>
      <c r="G104" s="683"/>
      <c r="H104" s="683"/>
      <c r="I104" s="683"/>
      <c r="J104" s="684"/>
      <c r="K104" s="182"/>
      <c r="L104" s="94"/>
      <c r="M104" s="93"/>
      <c r="N104" s="96"/>
      <c r="R104" s="19"/>
      <c r="T104" s="19"/>
      <c r="V104" s="388"/>
    </row>
    <row r="105" spans="1:22" ht="3" customHeight="1">
      <c r="A105" s="378"/>
      <c r="B105" s="379"/>
      <c r="C105" s="379"/>
      <c r="D105" s="379"/>
      <c r="E105" s="379"/>
      <c r="F105" s="379"/>
      <c r="G105" s="379"/>
      <c r="H105" s="379"/>
      <c r="I105" s="379"/>
      <c r="J105" s="380"/>
      <c r="K105" s="182"/>
      <c r="L105" s="94"/>
      <c r="M105" s="93"/>
      <c r="N105" s="96"/>
      <c r="R105" s="19"/>
      <c r="T105" s="19"/>
      <c r="V105" s="388"/>
    </row>
    <row r="106" spans="1:22" ht="15.75" customHeight="1">
      <c r="A106" s="636" t="str">
        <f>IF(ЭЗ!A496&lt;13,"Введите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06" s="637"/>
      <c r="C106" s="637"/>
      <c r="D106" s="637"/>
      <c r="E106" s="637"/>
      <c r="F106" s="637"/>
      <c r="G106" s="637"/>
      <c r="H106" s="637"/>
      <c r="I106" s="637"/>
      <c r="J106" s="638"/>
      <c r="V106" s="388"/>
    </row>
    <row r="107" spans="1:22" ht="15.75" customHeight="1">
      <c r="A107" s="671"/>
      <c r="B107" s="672"/>
      <c r="C107" s="672"/>
      <c r="D107" s="672"/>
      <c r="E107" s="672"/>
      <c r="F107" s="672"/>
      <c r="G107" s="672"/>
      <c r="H107" s="672"/>
      <c r="I107" s="672"/>
      <c r="J107" s="673"/>
      <c r="V107" s="388"/>
    </row>
    <row r="108" spans="1:22" ht="12.75" hidden="1">
      <c r="A108" s="216"/>
      <c r="B108" s="222">
        <v>1</v>
      </c>
      <c r="C108" s="222">
        <v>2</v>
      </c>
      <c r="D108" s="222">
        <v>3</v>
      </c>
      <c r="E108" s="222">
        <v>4</v>
      </c>
      <c r="F108" s="222">
        <v>5</v>
      </c>
      <c r="G108" s="222">
        <v>6</v>
      </c>
      <c r="H108" s="222">
        <v>7</v>
      </c>
      <c r="I108" s="19"/>
      <c r="J108" s="178"/>
      <c r="V108" s="388"/>
    </row>
    <row r="109" spans="1:22" ht="15.75" hidden="1">
      <c r="A109" s="216">
        <v>1</v>
      </c>
      <c r="B109" s="1055" t="s">
        <v>75</v>
      </c>
      <c r="C109" s="1056" t="s">
        <v>84</v>
      </c>
      <c r="D109" s="1057" t="s">
        <v>85</v>
      </c>
      <c r="E109" s="1056" t="s">
        <v>93</v>
      </c>
      <c r="F109" s="1055" t="s">
        <v>97</v>
      </c>
      <c r="G109" s="1056" t="s">
        <v>103</v>
      </c>
      <c r="H109" s="1058" t="s">
        <v>538</v>
      </c>
      <c r="I109" s="1060"/>
      <c r="J109" s="1061" t="s">
        <v>655</v>
      </c>
      <c r="V109" s="388"/>
    </row>
    <row r="110" spans="1:22" ht="15.75" hidden="1">
      <c r="A110" s="216">
        <v>2</v>
      </c>
      <c r="B110" s="1055" t="s">
        <v>66</v>
      </c>
      <c r="C110" s="1062" t="s">
        <v>641</v>
      </c>
      <c r="D110" s="1057" t="s">
        <v>86</v>
      </c>
      <c r="E110" s="1056" t="s">
        <v>92</v>
      </c>
      <c r="F110" s="1055" t="s">
        <v>98</v>
      </c>
      <c r="G110" s="1056" t="s">
        <v>102</v>
      </c>
      <c r="H110" s="1058" t="s">
        <v>630</v>
      </c>
      <c r="I110" s="1059"/>
      <c r="J110" s="1059"/>
      <c r="V110" s="388"/>
    </row>
    <row r="111" spans="1:22" ht="15.75" hidden="1">
      <c r="A111" s="216">
        <v>3</v>
      </c>
      <c r="B111" s="1055" t="s">
        <v>656</v>
      </c>
      <c r="C111" s="1056" t="s">
        <v>83</v>
      </c>
      <c r="D111" s="1057" t="s">
        <v>87</v>
      </c>
      <c r="E111" s="1056" t="s">
        <v>657</v>
      </c>
      <c r="F111" s="1055" t="s">
        <v>99</v>
      </c>
      <c r="G111" s="1056" t="s">
        <v>104</v>
      </c>
      <c r="H111" s="1058" t="s">
        <v>539</v>
      </c>
      <c r="I111" s="1059"/>
      <c r="J111" s="1059"/>
      <c r="V111" s="388"/>
    </row>
    <row r="112" spans="1:22" ht="15.75" hidden="1">
      <c r="A112" s="216">
        <v>4</v>
      </c>
      <c r="B112" s="1055" t="s">
        <v>76</v>
      </c>
      <c r="C112" s="1056" t="s">
        <v>82</v>
      </c>
      <c r="D112" s="1057" t="s">
        <v>88</v>
      </c>
      <c r="E112" s="1056" t="s">
        <v>94</v>
      </c>
      <c r="F112" s="1055" t="s">
        <v>61</v>
      </c>
      <c r="G112" s="1056" t="s">
        <v>105</v>
      </c>
      <c r="H112" s="1063" t="s">
        <v>62</v>
      </c>
      <c r="I112" s="1059"/>
      <c r="J112" s="1059"/>
      <c r="V112" s="388"/>
    </row>
    <row r="113" spans="1:22" ht="15.75" hidden="1">
      <c r="A113" s="216">
        <v>5</v>
      </c>
      <c r="B113" s="1058" t="s">
        <v>631</v>
      </c>
      <c r="C113" s="1062" t="s">
        <v>632</v>
      </c>
      <c r="D113" s="1057" t="s">
        <v>89</v>
      </c>
      <c r="E113" s="1056" t="s">
        <v>95</v>
      </c>
      <c r="F113" s="1058" t="s">
        <v>633</v>
      </c>
      <c r="G113" s="1056" t="s">
        <v>106</v>
      </c>
      <c r="H113" s="1058" t="s">
        <v>634</v>
      </c>
      <c r="I113" s="1059"/>
      <c r="J113" s="1059"/>
      <c r="V113" s="388"/>
    </row>
    <row r="114" spans="1:22" ht="15.75" hidden="1">
      <c r="A114" s="216">
        <v>6</v>
      </c>
      <c r="B114" s="1055" t="s">
        <v>77</v>
      </c>
      <c r="C114" s="1056" t="s">
        <v>81</v>
      </c>
      <c r="D114" s="1057" t="s">
        <v>90</v>
      </c>
      <c r="E114" s="1064" t="s">
        <v>540</v>
      </c>
      <c r="F114" s="1055" t="s">
        <v>100</v>
      </c>
      <c r="G114" s="1056" t="s">
        <v>107</v>
      </c>
      <c r="H114" s="1065" t="s">
        <v>541</v>
      </c>
      <c r="I114" s="1059"/>
      <c r="J114" s="1059"/>
      <c r="V114" s="388"/>
    </row>
    <row r="115" spans="1:22" ht="15.75" hidden="1">
      <c r="A115" s="216">
        <v>7</v>
      </c>
      <c r="B115" s="1055" t="s">
        <v>78</v>
      </c>
      <c r="C115" s="1056" t="s">
        <v>63</v>
      </c>
      <c r="D115" s="1066" t="s">
        <v>635</v>
      </c>
      <c r="E115" s="1056" t="s">
        <v>70</v>
      </c>
      <c r="F115" s="1055" t="s">
        <v>73</v>
      </c>
      <c r="G115" s="1056" t="s">
        <v>72</v>
      </c>
      <c r="H115" s="1065" t="s">
        <v>542</v>
      </c>
      <c r="I115" s="1059"/>
      <c r="J115" s="1059"/>
      <c r="V115" s="388"/>
    </row>
    <row r="116" spans="1:22" ht="15.75" hidden="1">
      <c r="A116" s="216">
        <v>8</v>
      </c>
      <c r="B116" s="1055" t="s">
        <v>79</v>
      </c>
      <c r="C116" s="1056" t="s">
        <v>64</v>
      </c>
      <c r="D116" s="1057" t="s">
        <v>68</v>
      </c>
      <c r="E116" s="1056" t="s">
        <v>71</v>
      </c>
      <c r="F116" s="1055" t="s">
        <v>74</v>
      </c>
      <c r="G116" s="1067" t="s">
        <v>642</v>
      </c>
      <c r="H116" s="1065" t="s">
        <v>643</v>
      </c>
      <c r="I116" s="1059"/>
      <c r="J116" s="1059"/>
      <c r="V116" s="388"/>
    </row>
    <row r="117" spans="1:22" ht="15.75" hidden="1">
      <c r="A117" s="216">
        <v>9</v>
      </c>
      <c r="B117" s="1055" t="s">
        <v>80</v>
      </c>
      <c r="C117" s="1056" t="s">
        <v>658</v>
      </c>
      <c r="D117" s="1057" t="s">
        <v>91</v>
      </c>
      <c r="E117" s="1056" t="s">
        <v>96</v>
      </c>
      <c r="F117" s="1055" t="s">
        <v>101</v>
      </c>
      <c r="G117" s="1056"/>
      <c r="H117" s="1055"/>
      <c r="I117" s="1059"/>
      <c r="J117" s="1059"/>
      <c r="V117" s="388"/>
    </row>
    <row r="118" spans="1:22" ht="15.75" hidden="1">
      <c r="A118" s="216">
        <v>10</v>
      </c>
      <c r="B118" s="1068" t="s">
        <v>640</v>
      </c>
      <c r="C118" s="1056" t="s">
        <v>65</v>
      </c>
      <c r="D118" s="1066" t="s">
        <v>636</v>
      </c>
      <c r="E118" s="1056" t="s">
        <v>659</v>
      </c>
      <c r="F118" s="1059"/>
      <c r="G118" s="1056"/>
      <c r="H118" s="1059"/>
      <c r="I118" s="1059"/>
      <c r="J118" s="1059"/>
      <c r="V118" s="388"/>
    </row>
    <row r="119" spans="1:22" ht="15.75" hidden="1">
      <c r="A119" s="216">
        <v>11</v>
      </c>
      <c r="B119" s="1055"/>
      <c r="C119" s="1056" t="s">
        <v>67</v>
      </c>
      <c r="D119" s="1059"/>
      <c r="E119" s="1069"/>
      <c r="F119" s="1059"/>
      <c r="G119" s="1059"/>
      <c r="H119" s="1059"/>
      <c r="I119" s="1059"/>
      <c r="J119" s="1059"/>
      <c r="V119" s="388"/>
    </row>
    <row r="120" spans="1:22" ht="15.75" hidden="1">
      <c r="A120" s="216">
        <v>12</v>
      </c>
      <c r="B120" s="1070"/>
      <c r="C120" s="1062" t="s">
        <v>69</v>
      </c>
      <c r="D120" s="1059"/>
      <c r="E120" s="1069"/>
      <c r="F120" s="1059"/>
      <c r="G120" s="1059"/>
      <c r="H120" s="1059"/>
      <c r="I120" s="1059"/>
      <c r="J120" s="1059"/>
      <c r="V120" s="388"/>
    </row>
    <row r="121" spans="1:22" ht="15.75" hidden="1">
      <c r="A121" s="216">
        <v>13</v>
      </c>
      <c r="B121" s="1070"/>
      <c r="C121" s="1064" t="s">
        <v>544</v>
      </c>
      <c r="D121" s="1059"/>
      <c r="E121" s="1069"/>
      <c r="F121" s="1059"/>
      <c r="G121" s="1059"/>
      <c r="H121" s="1059"/>
      <c r="I121" s="1059"/>
      <c r="J121" s="1059"/>
      <c r="V121" s="388"/>
    </row>
    <row r="122" spans="1:22" ht="15.75" hidden="1">
      <c r="A122" s="216"/>
      <c r="B122" s="1070" t="s">
        <v>543</v>
      </c>
      <c r="C122" s="1071" t="s">
        <v>543</v>
      </c>
      <c r="D122" s="1071" t="s">
        <v>543</v>
      </c>
      <c r="E122" s="1069" t="s">
        <v>543</v>
      </c>
      <c r="F122" s="1071" t="s">
        <v>543</v>
      </c>
      <c r="G122" s="1071" t="s">
        <v>543</v>
      </c>
      <c r="H122" s="1071" t="s">
        <v>543</v>
      </c>
      <c r="I122" s="1059"/>
      <c r="J122" s="1059"/>
      <c r="V122" s="388"/>
    </row>
    <row r="123" spans="1:22" ht="12.75" hidden="1">
      <c r="A123" s="216"/>
      <c r="B123" s="19"/>
      <c r="C123" s="100"/>
      <c r="D123" s="100"/>
      <c r="E123" s="100"/>
      <c r="F123" s="19"/>
      <c r="G123" s="19"/>
      <c r="H123" s="19"/>
      <c r="I123" s="19"/>
      <c r="J123" s="178"/>
      <c r="V123" s="388"/>
    </row>
    <row r="124" spans="1:22" ht="6" customHeight="1">
      <c r="A124" s="216"/>
      <c r="B124" s="19"/>
      <c r="C124" s="100"/>
      <c r="D124" s="100"/>
      <c r="E124" s="100"/>
      <c r="F124" s="19"/>
      <c r="G124" s="19"/>
      <c r="H124" s="19"/>
      <c r="I124" s="19"/>
      <c r="J124" s="178"/>
      <c r="V124" s="388"/>
    </row>
    <row r="125" spans="1:22" s="127" customFormat="1" ht="23.25" customHeight="1">
      <c r="A125" s="667" t="s">
        <v>222</v>
      </c>
      <c r="B125" s="668"/>
      <c r="C125" s="668"/>
      <c r="D125" s="668"/>
      <c r="E125" s="668"/>
      <c r="F125" s="668"/>
      <c r="G125" s="668"/>
      <c r="H125" s="668"/>
      <c r="I125" s="668"/>
      <c r="J125" s="269"/>
      <c r="K125" s="124"/>
      <c r="L125" s="125"/>
      <c r="M125" s="126"/>
      <c r="S125" s="3"/>
      <c r="V125" s="388"/>
    </row>
    <row r="126" spans="1:22" ht="42" customHeight="1" hidden="1">
      <c r="A126" s="223" t="s">
        <v>214</v>
      </c>
      <c r="B126" s="666" t="s">
        <v>216</v>
      </c>
      <c r="C126" s="666"/>
      <c r="D126" s="666" t="s">
        <v>213</v>
      </c>
      <c r="E126" s="666"/>
      <c r="F126" s="98"/>
      <c r="G126" s="98"/>
      <c r="H126" s="114" t="s">
        <v>210</v>
      </c>
      <c r="I126" s="184"/>
      <c r="J126" s="224"/>
      <c r="V126" s="388"/>
    </row>
    <row r="127" spans="1:22" ht="12.75" hidden="1">
      <c r="A127" s="225"/>
      <c r="B127" s="19"/>
      <c r="C127" s="100"/>
      <c r="D127" s="109"/>
      <c r="E127" s="109"/>
      <c r="F127" s="19"/>
      <c r="G127" s="19"/>
      <c r="H127" s="114"/>
      <c r="I127" s="184"/>
      <c r="J127" s="224"/>
      <c r="V127" s="388"/>
    </row>
    <row r="128" spans="1:22" ht="12.75" hidden="1">
      <c r="A128" s="226" t="s">
        <v>178</v>
      </c>
      <c r="B128" s="98"/>
      <c r="C128" s="99"/>
      <c r="D128" s="97" t="s">
        <v>181</v>
      </c>
      <c r="E128" s="97"/>
      <c r="F128" s="98"/>
      <c r="G128" s="98"/>
      <c r="H128" s="115">
        <f aca="true" t="shared" si="1" ref="H128:H160">LEN(D128)</f>
        <v>11</v>
      </c>
      <c r="I128" s="184"/>
      <c r="J128" s="224"/>
      <c r="V128" s="388"/>
    </row>
    <row r="129" spans="1:22" ht="12.75" hidden="1">
      <c r="A129" s="226" t="s">
        <v>193</v>
      </c>
      <c r="B129" s="98"/>
      <c r="C129" s="99"/>
      <c r="D129" s="97" t="s">
        <v>196</v>
      </c>
      <c r="E129" s="97"/>
      <c r="F129" s="98"/>
      <c r="G129" s="98"/>
      <c r="H129" s="115">
        <f t="shared" si="1"/>
        <v>15</v>
      </c>
      <c r="I129" s="184"/>
      <c r="J129" s="224"/>
      <c r="V129" s="388"/>
    </row>
    <row r="130" spans="1:22" ht="12.75" hidden="1">
      <c r="A130" s="226" t="s">
        <v>180</v>
      </c>
      <c r="B130" s="98"/>
      <c r="C130" s="99"/>
      <c r="D130" s="97" t="s">
        <v>182</v>
      </c>
      <c r="E130" s="97"/>
      <c r="F130" s="98"/>
      <c r="G130" s="98"/>
      <c r="H130" s="115">
        <f t="shared" si="1"/>
        <v>11</v>
      </c>
      <c r="I130" s="184"/>
      <c r="J130" s="224"/>
      <c r="V130" s="388"/>
    </row>
    <row r="131" spans="1:22" ht="12.75" hidden="1">
      <c r="A131" s="226" t="s">
        <v>199</v>
      </c>
      <c r="B131" s="98"/>
      <c r="C131" s="99"/>
      <c r="D131" s="97" t="s">
        <v>38</v>
      </c>
      <c r="E131" s="97"/>
      <c r="F131" s="98"/>
      <c r="G131" s="98"/>
      <c r="H131" s="115">
        <f t="shared" si="1"/>
        <v>20</v>
      </c>
      <c r="I131" s="184"/>
      <c r="J131" s="224"/>
      <c r="V131" s="388"/>
    </row>
    <row r="132" spans="1:22" ht="12.75" hidden="1">
      <c r="A132" s="226" t="s">
        <v>200</v>
      </c>
      <c r="B132" s="98"/>
      <c r="C132" s="99"/>
      <c r="D132" s="97" t="s">
        <v>39</v>
      </c>
      <c r="E132" s="97"/>
      <c r="F132" s="98"/>
      <c r="G132" s="98"/>
      <c r="H132" s="115">
        <f t="shared" si="1"/>
        <v>28</v>
      </c>
      <c r="I132" s="184"/>
      <c r="J132" s="224"/>
      <c r="V132" s="388"/>
    </row>
    <row r="133" spans="1:22" ht="12.75" hidden="1">
      <c r="A133" s="226" t="s">
        <v>36</v>
      </c>
      <c r="B133" s="98"/>
      <c r="C133" s="99"/>
      <c r="D133" s="97" t="s">
        <v>40</v>
      </c>
      <c r="E133" s="97"/>
      <c r="F133" s="98"/>
      <c r="G133" s="98"/>
      <c r="H133" s="115">
        <f t="shared" si="1"/>
        <v>29</v>
      </c>
      <c r="I133" s="184"/>
      <c r="J133" s="224"/>
      <c r="V133" s="388"/>
    </row>
    <row r="134" spans="1:22" ht="12.75" hidden="1">
      <c r="A134" s="226" t="s">
        <v>201</v>
      </c>
      <c r="B134" s="98"/>
      <c r="C134" s="99"/>
      <c r="D134" s="97" t="s">
        <v>41</v>
      </c>
      <c r="E134" s="97"/>
      <c r="F134" s="98"/>
      <c r="G134" s="98"/>
      <c r="H134" s="115">
        <f t="shared" si="1"/>
        <v>21</v>
      </c>
      <c r="I134" s="184"/>
      <c r="J134" s="224"/>
      <c r="V134" s="388"/>
    </row>
    <row r="135" spans="1:22" ht="12.75" hidden="1">
      <c r="A135" s="226" t="s">
        <v>202</v>
      </c>
      <c r="B135" s="98"/>
      <c r="C135" s="99"/>
      <c r="D135" s="97" t="s">
        <v>42</v>
      </c>
      <c r="E135" s="99"/>
      <c r="F135" s="98"/>
      <c r="G135" s="98"/>
      <c r="H135" s="115">
        <f t="shared" si="1"/>
        <v>15</v>
      </c>
      <c r="I135" s="184"/>
      <c r="J135" s="224"/>
      <c r="V135" s="388"/>
    </row>
    <row r="136" spans="1:22" ht="12.75" hidden="1">
      <c r="A136" s="226" t="s">
        <v>189</v>
      </c>
      <c r="B136" s="98"/>
      <c r="C136" s="99"/>
      <c r="D136" s="97" t="s">
        <v>190</v>
      </c>
      <c r="E136" s="99"/>
      <c r="F136" s="98"/>
      <c r="G136" s="98"/>
      <c r="H136" s="115">
        <f t="shared" si="1"/>
        <v>8</v>
      </c>
      <c r="I136" s="184"/>
      <c r="J136" s="224"/>
      <c r="V136" s="388"/>
    </row>
    <row r="137" spans="1:22" ht="12.75" hidden="1">
      <c r="A137" s="226" t="s">
        <v>37</v>
      </c>
      <c r="B137" s="98"/>
      <c r="C137" s="98"/>
      <c r="D137" s="97" t="s">
        <v>43</v>
      </c>
      <c r="E137" s="99"/>
      <c r="F137" s="98"/>
      <c r="G137" s="98"/>
      <c r="H137" s="115">
        <f t="shared" si="1"/>
        <v>13</v>
      </c>
      <c r="I137" s="184"/>
      <c r="J137" s="224"/>
      <c r="V137" s="388"/>
    </row>
    <row r="138" spans="1:22" ht="12.75" hidden="1">
      <c r="A138" s="226" t="s">
        <v>209</v>
      </c>
      <c r="B138" s="98"/>
      <c r="C138" s="98"/>
      <c r="D138" s="97" t="s">
        <v>44</v>
      </c>
      <c r="E138" s="99"/>
      <c r="F138" s="98"/>
      <c r="G138" s="98"/>
      <c r="H138" s="115">
        <f t="shared" si="1"/>
        <v>9</v>
      </c>
      <c r="I138" s="184"/>
      <c r="J138" s="224"/>
      <c r="V138" s="388"/>
    </row>
    <row r="139" spans="1:22" ht="12.75" hidden="1">
      <c r="A139" s="226" t="s">
        <v>203</v>
      </c>
      <c r="B139" s="98"/>
      <c r="C139" s="98"/>
      <c r="D139" s="97" t="s">
        <v>45</v>
      </c>
      <c r="E139" s="99"/>
      <c r="F139" s="98"/>
      <c r="G139" s="98"/>
      <c r="H139" s="115">
        <f t="shared" si="1"/>
        <v>25</v>
      </c>
      <c r="I139" s="184"/>
      <c r="J139" s="224"/>
      <c r="V139" s="388"/>
    </row>
    <row r="140" spans="1:22" ht="12.75" hidden="1">
      <c r="A140" s="226" t="s">
        <v>194</v>
      </c>
      <c r="B140" s="98"/>
      <c r="C140" s="98" t="s">
        <v>215</v>
      </c>
      <c r="D140" s="97" t="s">
        <v>195</v>
      </c>
      <c r="E140" s="99"/>
      <c r="F140" s="98"/>
      <c r="G140" s="98"/>
      <c r="H140" s="115">
        <f t="shared" si="1"/>
        <v>8</v>
      </c>
      <c r="I140" s="184"/>
      <c r="J140" s="224"/>
      <c r="V140" s="388"/>
    </row>
    <row r="141" spans="1:22" ht="12.75" hidden="1">
      <c r="A141" s="226" t="s">
        <v>204</v>
      </c>
      <c r="B141" s="98"/>
      <c r="C141" s="98" t="s">
        <v>215</v>
      </c>
      <c r="D141" s="97" t="s">
        <v>47</v>
      </c>
      <c r="E141" s="99"/>
      <c r="F141" s="98"/>
      <c r="G141" s="98"/>
      <c r="H141" s="115">
        <f t="shared" si="1"/>
        <v>25</v>
      </c>
      <c r="I141" s="184"/>
      <c r="J141" s="224"/>
      <c r="V141" s="388"/>
    </row>
    <row r="142" spans="1:22" ht="12.75" hidden="1">
      <c r="A142" s="226" t="s">
        <v>205</v>
      </c>
      <c r="B142" s="98"/>
      <c r="C142" s="98"/>
      <c r="D142" s="97" t="s">
        <v>46</v>
      </c>
      <c r="E142" s="99"/>
      <c r="F142" s="98"/>
      <c r="G142" s="98"/>
      <c r="H142" s="115">
        <f t="shared" si="1"/>
        <v>21</v>
      </c>
      <c r="I142" s="184"/>
      <c r="J142" s="224"/>
      <c r="V142" s="388"/>
    </row>
    <row r="143" spans="1:22" ht="12.75" hidden="1">
      <c r="A143" s="226" t="s">
        <v>206</v>
      </c>
      <c r="B143" s="98"/>
      <c r="C143" s="98"/>
      <c r="D143" s="97" t="s">
        <v>48</v>
      </c>
      <c r="E143" s="97"/>
      <c r="F143" s="98"/>
      <c r="G143" s="98"/>
      <c r="H143" s="115">
        <f t="shared" si="1"/>
        <v>18</v>
      </c>
      <c r="I143" s="184"/>
      <c r="J143" s="224"/>
      <c r="V143" s="388"/>
    </row>
    <row r="144" spans="1:22" ht="12.75" hidden="1">
      <c r="A144" s="226" t="s">
        <v>185</v>
      </c>
      <c r="B144" s="98"/>
      <c r="C144" s="98" t="s">
        <v>215</v>
      </c>
      <c r="D144" s="97" t="s">
        <v>186</v>
      </c>
      <c r="E144" s="99"/>
      <c r="F144" s="98"/>
      <c r="G144" s="98"/>
      <c r="H144" s="115">
        <f t="shared" si="1"/>
        <v>13</v>
      </c>
      <c r="I144" s="184"/>
      <c r="J144" s="224"/>
      <c r="V144" s="388"/>
    </row>
    <row r="145" spans="1:22" ht="12.75" hidden="1">
      <c r="A145" s="226" t="s">
        <v>211</v>
      </c>
      <c r="B145" s="98"/>
      <c r="C145" s="98" t="s">
        <v>215</v>
      </c>
      <c r="D145" s="97" t="s">
        <v>212</v>
      </c>
      <c r="E145" s="99"/>
      <c r="F145" s="98"/>
      <c r="G145" s="98"/>
      <c r="H145" s="115">
        <f t="shared" si="1"/>
        <v>27</v>
      </c>
      <c r="I145" s="184"/>
      <c r="J145" s="224"/>
      <c r="V145" s="388"/>
    </row>
    <row r="146" spans="1:22" ht="12.75" hidden="1">
      <c r="A146" s="226" t="s">
        <v>191</v>
      </c>
      <c r="B146" s="98"/>
      <c r="C146" s="98"/>
      <c r="D146" s="97" t="s">
        <v>192</v>
      </c>
      <c r="E146" s="99"/>
      <c r="F146" s="98"/>
      <c r="G146" s="98"/>
      <c r="H146" s="115">
        <f t="shared" si="1"/>
        <v>9</v>
      </c>
      <c r="I146" s="184"/>
      <c r="J146" s="224"/>
      <c r="V146" s="388"/>
    </row>
    <row r="147" spans="1:22" ht="12.75" hidden="1">
      <c r="A147" s="226" t="s">
        <v>197</v>
      </c>
      <c r="B147" s="98"/>
      <c r="C147" s="98"/>
      <c r="D147" s="97" t="s">
        <v>198</v>
      </c>
      <c r="E147" s="99"/>
      <c r="F147" s="98"/>
      <c r="G147" s="98"/>
      <c r="H147" s="115">
        <f t="shared" si="1"/>
        <v>28</v>
      </c>
      <c r="I147" s="184"/>
      <c r="J147" s="224"/>
      <c r="V147" s="388"/>
    </row>
    <row r="148" spans="1:22" ht="12.75" hidden="1">
      <c r="A148" s="226" t="s">
        <v>187</v>
      </c>
      <c r="B148" s="98"/>
      <c r="C148" s="98"/>
      <c r="D148" s="97" t="s">
        <v>188</v>
      </c>
      <c r="E148" s="99"/>
      <c r="F148" s="98"/>
      <c r="G148" s="98"/>
      <c r="H148" s="115">
        <f t="shared" si="1"/>
        <v>20</v>
      </c>
      <c r="I148" s="184"/>
      <c r="J148" s="224"/>
      <c r="V148" s="388"/>
    </row>
    <row r="149" spans="1:22" ht="12.75" hidden="1">
      <c r="A149" s="226" t="s">
        <v>179</v>
      </c>
      <c r="B149" s="98"/>
      <c r="C149" s="98"/>
      <c r="D149" s="97" t="s">
        <v>183</v>
      </c>
      <c r="E149" s="99"/>
      <c r="F149" s="98"/>
      <c r="G149" s="98"/>
      <c r="H149" s="115">
        <f t="shared" si="1"/>
        <v>20</v>
      </c>
      <c r="I149" s="184"/>
      <c r="J149" s="224"/>
      <c r="V149" s="388"/>
    </row>
    <row r="150" spans="1:22" ht="12.75" hidden="1">
      <c r="A150" s="226" t="s">
        <v>34</v>
      </c>
      <c r="B150" s="98"/>
      <c r="C150" s="98" t="s">
        <v>215</v>
      </c>
      <c r="D150" s="97" t="s">
        <v>49</v>
      </c>
      <c r="E150" s="99"/>
      <c r="F150" s="98"/>
      <c r="G150" s="98"/>
      <c r="H150" s="115">
        <f t="shared" si="1"/>
        <v>7</v>
      </c>
      <c r="I150" s="184"/>
      <c r="J150" s="224"/>
      <c r="V150" s="388"/>
    </row>
    <row r="151" spans="1:22" ht="12.75" hidden="1">
      <c r="A151" s="226" t="s">
        <v>207</v>
      </c>
      <c r="B151" s="98"/>
      <c r="C151" s="98" t="s">
        <v>215</v>
      </c>
      <c r="D151" s="97" t="s">
        <v>50</v>
      </c>
      <c r="E151" s="99"/>
      <c r="F151" s="98"/>
      <c r="G151" s="98"/>
      <c r="H151" s="115">
        <f t="shared" si="1"/>
        <v>21</v>
      </c>
      <c r="I151" s="184"/>
      <c r="J151" s="224"/>
      <c r="V151" s="388"/>
    </row>
    <row r="152" spans="1:22" ht="12.75" hidden="1">
      <c r="A152" s="226" t="s">
        <v>177</v>
      </c>
      <c r="B152" s="98"/>
      <c r="C152" s="98" t="s">
        <v>215</v>
      </c>
      <c r="D152" s="97" t="s">
        <v>184</v>
      </c>
      <c r="E152" s="99"/>
      <c r="F152" s="98"/>
      <c r="G152" s="98"/>
      <c r="H152" s="115">
        <f t="shared" si="1"/>
        <v>7</v>
      </c>
      <c r="I152" s="184"/>
      <c r="J152" s="224"/>
      <c r="V152" s="388"/>
    </row>
    <row r="153" spans="1:22" ht="12.75" hidden="1">
      <c r="A153" s="226" t="s">
        <v>35</v>
      </c>
      <c r="B153" s="98"/>
      <c r="C153" s="98"/>
      <c r="D153" s="97" t="s">
        <v>51</v>
      </c>
      <c r="E153" s="99"/>
      <c r="F153" s="98"/>
      <c r="G153" s="98"/>
      <c r="H153" s="115">
        <f t="shared" si="1"/>
        <v>19</v>
      </c>
      <c r="I153" s="184"/>
      <c r="J153" s="224"/>
      <c r="V153" s="388"/>
    </row>
    <row r="154" spans="1:22" ht="12.75" hidden="1">
      <c r="A154" s="226" t="s">
        <v>208</v>
      </c>
      <c r="B154" s="98"/>
      <c r="C154" s="98"/>
      <c r="D154" s="97" t="s">
        <v>52</v>
      </c>
      <c r="E154" s="99"/>
      <c r="F154" s="98"/>
      <c r="G154" s="98"/>
      <c r="H154" s="115">
        <f t="shared" si="1"/>
        <v>16</v>
      </c>
      <c r="I154" s="184"/>
      <c r="J154" s="224"/>
      <c r="V154" s="388"/>
    </row>
    <row r="155" spans="1:22" ht="12.75" hidden="1">
      <c r="A155" s="226"/>
      <c r="B155" s="98"/>
      <c r="C155" s="98"/>
      <c r="D155" s="97"/>
      <c r="E155" s="99"/>
      <c r="F155" s="98"/>
      <c r="G155" s="98"/>
      <c r="H155" s="115">
        <f t="shared" si="1"/>
        <v>0</v>
      </c>
      <c r="I155" s="184"/>
      <c r="J155" s="224"/>
      <c r="V155" s="388"/>
    </row>
    <row r="156" spans="1:22" ht="12.75" hidden="1">
      <c r="A156" s="226"/>
      <c r="B156" s="98"/>
      <c r="C156" s="98"/>
      <c r="D156" s="97"/>
      <c r="E156" s="99"/>
      <c r="F156" s="98"/>
      <c r="G156" s="98"/>
      <c r="H156" s="115">
        <f t="shared" si="1"/>
        <v>0</v>
      </c>
      <c r="I156" s="184"/>
      <c r="J156" s="224"/>
      <c r="V156" s="388"/>
    </row>
    <row r="157" spans="1:22" ht="12.75" hidden="1">
      <c r="A157" s="226"/>
      <c r="B157" s="98"/>
      <c r="C157" s="98"/>
      <c r="D157" s="97"/>
      <c r="E157" s="99"/>
      <c r="F157" s="98"/>
      <c r="G157" s="98"/>
      <c r="H157" s="115">
        <f t="shared" si="1"/>
        <v>0</v>
      </c>
      <c r="I157" s="184"/>
      <c r="J157" s="224"/>
      <c r="V157" s="388"/>
    </row>
    <row r="158" spans="1:22" ht="12.75" hidden="1">
      <c r="A158" s="226"/>
      <c r="B158" s="98"/>
      <c r="C158" s="98"/>
      <c r="D158" s="97"/>
      <c r="E158" s="99"/>
      <c r="F158" s="98"/>
      <c r="G158" s="98"/>
      <c r="H158" s="115">
        <f t="shared" si="1"/>
        <v>0</v>
      </c>
      <c r="I158" s="184"/>
      <c r="J158" s="224"/>
      <c r="V158" s="388"/>
    </row>
    <row r="159" spans="1:22" ht="12.75" hidden="1">
      <c r="A159" s="226"/>
      <c r="B159" s="98"/>
      <c r="C159" s="98"/>
      <c r="D159" s="97"/>
      <c r="E159" s="99"/>
      <c r="F159" s="98"/>
      <c r="G159" s="98"/>
      <c r="H159" s="115">
        <f t="shared" si="1"/>
        <v>0</v>
      </c>
      <c r="I159" s="184"/>
      <c r="J159" s="224"/>
      <c r="V159" s="388"/>
    </row>
    <row r="160" spans="1:22" ht="12.75" hidden="1">
      <c r="A160" s="227"/>
      <c r="B160" s="98"/>
      <c r="C160" s="98"/>
      <c r="D160" s="99"/>
      <c r="E160" s="98"/>
      <c r="F160" s="98"/>
      <c r="G160" s="98"/>
      <c r="H160" s="115">
        <f t="shared" si="1"/>
        <v>0</v>
      </c>
      <c r="I160" s="184"/>
      <c r="J160" s="224"/>
      <c r="V160" s="388"/>
    </row>
    <row r="161" spans="1:22" ht="12.75" hidden="1">
      <c r="A161" s="216"/>
      <c r="B161" s="19"/>
      <c r="C161" s="19"/>
      <c r="D161" s="19"/>
      <c r="E161" s="19"/>
      <c r="F161" s="19"/>
      <c r="G161" s="19"/>
      <c r="H161" s="19"/>
      <c r="I161" s="19"/>
      <c r="J161" s="178"/>
      <c r="V161" s="388"/>
    </row>
    <row r="162" spans="1:22" ht="6" customHeight="1">
      <c r="A162" s="216"/>
      <c r="B162" s="19"/>
      <c r="C162" s="19"/>
      <c r="D162" s="19"/>
      <c r="E162" s="19"/>
      <c r="F162" s="19"/>
      <c r="G162" s="19"/>
      <c r="H162" s="19"/>
      <c r="I162" s="19"/>
      <c r="J162" s="178"/>
      <c r="V162" s="388"/>
    </row>
    <row r="163" spans="1:22" s="127" customFormat="1" ht="28.5" customHeight="1">
      <c r="A163" s="667" t="s">
        <v>223</v>
      </c>
      <c r="B163" s="668"/>
      <c r="C163" s="668"/>
      <c r="D163" s="668"/>
      <c r="E163" s="668"/>
      <c r="F163" s="668"/>
      <c r="G163" s="668"/>
      <c r="H163" s="668"/>
      <c r="I163" s="668"/>
      <c r="J163" s="269"/>
      <c r="K163" s="183"/>
      <c r="L163" s="183"/>
      <c r="M163" s="183"/>
      <c r="N163" s="183"/>
      <c r="S163" s="3"/>
      <c r="V163" s="388"/>
    </row>
    <row r="164" spans="1:22" ht="3.75" customHeight="1">
      <c r="A164" s="216"/>
      <c r="B164" s="19"/>
      <c r="C164" s="19"/>
      <c r="D164" s="19"/>
      <c r="E164" s="19"/>
      <c r="F164" s="19"/>
      <c r="G164" s="19"/>
      <c r="H164" s="19"/>
      <c r="I164" s="19"/>
      <c r="J164" s="178"/>
      <c r="K164" s="208"/>
      <c r="V164" s="388"/>
    </row>
    <row r="165" spans="1:22" ht="20.25" customHeight="1">
      <c r="A165" s="662" t="s">
        <v>241</v>
      </c>
      <c r="B165" s="663"/>
      <c r="C165" s="663"/>
      <c r="D165" s="663"/>
      <c r="E165" s="663"/>
      <c r="F165" s="663"/>
      <c r="G165" s="663"/>
      <c r="H165" s="663"/>
      <c r="I165" s="663"/>
      <c r="J165" s="178"/>
      <c r="K165" s="208"/>
      <c r="V165" s="388"/>
    </row>
    <row r="166" spans="1:22" s="233" customFormat="1" ht="17.25" customHeight="1">
      <c r="A166" s="664" t="s">
        <v>242</v>
      </c>
      <c r="B166" s="665"/>
      <c r="C166" s="665"/>
      <c r="D166" s="603">
        <v>16</v>
      </c>
      <c r="E166" s="270" t="s">
        <v>243</v>
      </c>
      <c r="F166" s="229"/>
      <c r="G166" s="229"/>
      <c r="H166" s="229"/>
      <c r="I166" s="229"/>
      <c r="J166" s="230"/>
      <c r="K166" s="19"/>
      <c r="L166" s="231"/>
      <c r="M166" s="232"/>
      <c r="S166" s="3"/>
      <c r="V166" s="388"/>
    </row>
    <row r="167" spans="1:19" s="233" customFormat="1" ht="12.75" customHeight="1">
      <c r="A167" s="656" t="s">
        <v>625</v>
      </c>
      <c r="B167" s="657"/>
      <c r="C167" s="657"/>
      <c r="D167" s="657"/>
      <c r="E167" s="657"/>
      <c r="F167" s="657"/>
      <c r="G167" s="657"/>
      <c r="H167" s="657"/>
      <c r="I167" s="657"/>
      <c r="J167" s="658"/>
      <c r="K167" s="235" t="s">
        <v>244</v>
      </c>
      <c r="L167" s="231"/>
      <c r="M167" s="232"/>
      <c r="S167" s="3"/>
    </row>
    <row r="168" spans="1:19" s="233" customFormat="1" ht="13.5" thickBot="1">
      <c r="A168" s="659"/>
      <c r="B168" s="660"/>
      <c r="C168" s="660"/>
      <c r="D168" s="660"/>
      <c r="E168" s="660"/>
      <c r="F168" s="660"/>
      <c r="G168" s="660"/>
      <c r="H168" s="660"/>
      <c r="I168" s="660"/>
      <c r="J168" s="661"/>
      <c r="K168" s="229"/>
      <c r="L168" s="236">
        <f>IF(AND(ЭЗ!E432=0,ЭЗ!E443=0,ЭЗ!F449&lt;&gt;100,вывод1="да"),_72ч,"")</f>
      </c>
      <c r="M168" s="232"/>
      <c r="S168" s="3"/>
    </row>
    <row r="169" spans="1:19" s="233" customFormat="1" ht="11.25" customHeight="1" thickBot="1">
      <c r="A169" s="237"/>
      <c r="B169" s="238"/>
      <c r="C169" s="238"/>
      <c r="D169" s="238"/>
      <c r="E169" s="238"/>
      <c r="F169" s="238"/>
      <c r="G169" s="238"/>
      <c r="H169" s="238"/>
      <c r="I169" s="238"/>
      <c r="J169" s="234"/>
      <c r="K169" s="239" t="s">
        <v>245</v>
      </c>
      <c r="L169" s="240" t="str">
        <f>IF(рек_общ="",рез_2&amp;рез_3,IF(рез_2="",рек_общ&amp;рез_3,рез_2&amp;рез_3))</f>
        <v>Получить  дополнительное профессиональное образование по направлению  "Образование и педагогика"   </v>
      </c>
      <c r="S169" s="3"/>
    </row>
    <row r="170" spans="1:19" s="233" customFormat="1" ht="67.5" customHeight="1">
      <c r="A170" s="669" t="s">
        <v>497</v>
      </c>
      <c r="B170" s="670"/>
      <c r="C170" s="670"/>
      <c r="D170" s="670"/>
      <c r="E170" s="670"/>
      <c r="F170" s="670"/>
      <c r="G170" s="670"/>
      <c r="H170" s="670"/>
      <c r="I170" s="670"/>
      <c r="J170" s="230"/>
      <c r="K170" s="169" t="s">
        <v>279</v>
      </c>
      <c r="L170" s="93" t="s">
        <v>246</v>
      </c>
      <c r="M170" s="232"/>
      <c r="S170" s="3"/>
    </row>
    <row r="171" spans="1:11" ht="17.25" customHeight="1">
      <c r="A171" s="653" t="s">
        <v>280</v>
      </c>
      <c r="B171" s="654"/>
      <c r="C171" s="654"/>
      <c r="D171" s="654"/>
      <c r="E171" s="654"/>
      <c r="F171" s="654"/>
      <c r="G171" s="654"/>
      <c r="H171" s="654"/>
      <c r="I171" s="654"/>
      <c r="J171" s="655"/>
      <c r="K171" s="210" t="str">
        <f>IF(рек2="нет",_дпо,"")</f>
        <v>Получить  дополнительное профессиональное образование по направлению  "Образование и педагогика"   </v>
      </c>
    </row>
    <row r="172" spans="1:11" ht="4.5" customHeight="1">
      <c r="A172" s="228"/>
      <c r="B172" s="238"/>
      <c r="C172" s="238"/>
      <c r="D172" s="238"/>
      <c r="E172" s="238"/>
      <c r="F172" s="238"/>
      <c r="G172" s="238"/>
      <c r="H172" s="238"/>
      <c r="I172" s="238"/>
      <c r="J172" s="178"/>
      <c r="K172" s="169" t="s">
        <v>281</v>
      </c>
    </row>
    <row r="173" spans="1:19" s="19" customFormat="1" ht="49.5" customHeight="1">
      <c r="A173" s="697" t="s">
        <v>493</v>
      </c>
      <c r="B173" s="698"/>
      <c r="C173" s="698"/>
      <c r="D173" s="698"/>
      <c r="E173" s="698"/>
      <c r="F173" s="698"/>
      <c r="G173" s="698"/>
      <c r="H173" s="698"/>
      <c r="I173" s="698"/>
      <c r="J173" s="699"/>
      <c r="S173" s="3"/>
    </row>
    <row r="174" spans="1:11" ht="15.75">
      <c r="A174" s="700" t="s">
        <v>495</v>
      </c>
      <c r="B174" s="686"/>
      <c r="C174" s="686"/>
      <c r="D174" s="686"/>
      <c r="E174" s="686"/>
      <c r="F174" s="686"/>
      <c r="G174" s="686"/>
      <c r="H174" s="686"/>
      <c r="I174" s="686"/>
      <c r="J174" s="687"/>
      <c r="K174" s="208"/>
    </row>
    <row r="175" spans="1:11" ht="15.75">
      <c r="A175" s="685" t="s">
        <v>494</v>
      </c>
      <c r="B175" s="686"/>
      <c r="C175" s="686"/>
      <c r="D175" s="686"/>
      <c r="E175" s="686"/>
      <c r="F175" s="686"/>
      <c r="G175" s="686"/>
      <c r="H175" s="686"/>
      <c r="I175" s="686"/>
      <c r="J175" s="687"/>
      <c r="K175" s="208"/>
    </row>
    <row r="176" spans="1:11" ht="57" customHeight="1">
      <c r="A176" s="688" t="s">
        <v>496</v>
      </c>
      <c r="B176" s="689"/>
      <c r="C176" s="689"/>
      <c r="D176" s="689"/>
      <c r="E176" s="689"/>
      <c r="F176" s="689"/>
      <c r="G176" s="689"/>
      <c r="H176" s="689"/>
      <c r="I176" s="689"/>
      <c r="J176" s="690"/>
      <c r="K176" s="208"/>
    </row>
  </sheetData>
  <sheetProtection password="CF28" sheet="1" objects="1" scenarios="1"/>
  <mergeCells count="79">
    <mergeCell ref="A56:C56"/>
    <mergeCell ref="A44:A45"/>
    <mergeCell ref="B44:J45"/>
    <mergeCell ref="B46:D46"/>
    <mergeCell ref="A48:A49"/>
    <mergeCell ref="B48:J49"/>
    <mergeCell ref="B50:D50"/>
    <mergeCell ref="G70:H70"/>
    <mergeCell ref="C94:H94"/>
    <mergeCell ref="A76:H77"/>
    <mergeCell ref="A63:E63"/>
    <mergeCell ref="B37:E37"/>
    <mergeCell ref="A40:A41"/>
    <mergeCell ref="B40:J41"/>
    <mergeCell ref="B42:D42"/>
    <mergeCell ref="E56:G56"/>
    <mergeCell ref="B58:J60"/>
    <mergeCell ref="A17:I17"/>
    <mergeCell ref="A19:B19"/>
    <mergeCell ref="C19:I19"/>
    <mergeCell ref="A23:B23"/>
    <mergeCell ref="C23:I24"/>
    <mergeCell ref="G21:I21"/>
    <mergeCell ref="A24:B24"/>
    <mergeCell ref="G35:H35"/>
    <mergeCell ref="A173:J173"/>
    <mergeCell ref="A174:J174"/>
    <mergeCell ref="A21:C21"/>
    <mergeCell ref="C90:H90"/>
    <mergeCell ref="G69:H69"/>
    <mergeCell ref="D35:E35"/>
    <mergeCell ref="F33:H33"/>
    <mergeCell ref="D21:F21"/>
    <mergeCell ref="A26:B26"/>
    <mergeCell ref="A175:J175"/>
    <mergeCell ref="A176:J176"/>
    <mergeCell ref="C27:I27"/>
    <mergeCell ref="A32:C32"/>
    <mergeCell ref="A125:I125"/>
    <mergeCell ref="C89:I89"/>
    <mergeCell ref="C92:H92"/>
    <mergeCell ref="C30:I31"/>
    <mergeCell ref="A53:I53"/>
    <mergeCell ref="D33:E33"/>
    <mergeCell ref="A106:J107"/>
    <mergeCell ref="A78:H80"/>
    <mergeCell ref="A82:J82"/>
    <mergeCell ref="C96:H96"/>
    <mergeCell ref="C91:I91"/>
    <mergeCell ref="C93:I93"/>
    <mergeCell ref="A85:I85"/>
    <mergeCell ref="C95:I95"/>
    <mergeCell ref="A103:J103"/>
    <mergeCell ref="A104:J104"/>
    <mergeCell ref="A171:J171"/>
    <mergeCell ref="A167:J168"/>
    <mergeCell ref="A165:I165"/>
    <mergeCell ref="A166:C166"/>
    <mergeCell ref="D126:E126"/>
    <mergeCell ref="B126:C126"/>
    <mergeCell ref="A163:I163"/>
    <mergeCell ref="A170:I170"/>
    <mergeCell ref="A1:J1"/>
    <mergeCell ref="H13:J16"/>
    <mergeCell ref="A3:J3"/>
    <mergeCell ref="B4:C4"/>
    <mergeCell ref="H4:J5"/>
    <mergeCell ref="H11:J12"/>
    <mergeCell ref="G6:J10"/>
    <mergeCell ref="A100:I100"/>
    <mergeCell ref="G66:H66"/>
    <mergeCell ref="C28:I28"/>
    <mergeCell ref="C26:H26"/>
    <mergeCell ref="A83:J83"/>
    <mergeCell ref="A72:J73"/>
    <mergeCell ref="A75:I75"/>
    <mergeCell ref="G65:H65"/>
    <mergeCell ref="A66:F67"/>
    <mergeCell ref="A33:C33"/>
  </mergeCells>
  <conditionalFormatting sqref="A106 A1">
    <cfRule type="cellIs" priority="5" dxfId="28" operator="equal" stopIfTrue="1">
      <formula>"Все данные введены. Перейдите на лист ЭЗ"</formula>
    </cfRule>
  </conditionalFormatting>
  <conditionalFormatting sqref="B93:I94">
    <cfRule type="expression" priority="6" dxfId="29" stopIfTrue="1">
      <formula>$F$87&lt;2</formula>
    </cfRule>
  </conditionalFormatting>
  <conditionalFormatting sqref="B95:I96">
    <cfRule type="expression" priority="7" dxfId="29" stopIfTrue="1">
      <formula>$F$87&lt;3</formula>
    </cfRule>
  </conditionalFormatting>
  <conditionalFormatting sqref="A103:J103">
    <cfRule type="expression" priority="2" dxfId="30" stopIfTrue="1">
      <formula>SEARCH("не",$A$103)</formula>
    </cfRule>
  </conditionalFormatting>
  <conditionalFormatting sqref="A103:J103">
    <cfRule type="containsText" priority="1" dxfId="31" operator="containsText" stopIfTrue="1" text="не соотв">
      <formula>NOT(ISERROR(SEARCH("не соотв",A103)))</formula>
    </cfRule>
  </conditionalFormatting>
  <conditionalFormatting sqref="I79">
    <cfRule type="expression" priority="9" dxfId="32" stopIfTrue="1">
      <formula>OR($G$65="да",$G$66="да")</formula>
    </cfRule>
  </conditionalFormatting>
  <conditionalFormatting sqref="J79">
    <cfRule type="expression" priority="10" dxfId="33" stopIfTrue="1">
      <formula>AND($G$65="нет",$G$66="нет")</formula>
    </cfRule>
  </conditionalFormatting>
  <conditionalFormatting sqref="I67">
    <cfRule type="expression" priority="13" dxfId="29" stopIfTrue="1">
      <formula>$G$66="нет"</formula>
    </cfRule>
  </conditionalFormatting>
  <conditionalFormatting sqref="I70">
    <cfRule type="expression" priority="14" dxfId="29" stopIfTrue="1">
      <formula>$G$70="нет"</formula>
    </cfRule>
  </conditionalFormatting>
  <conditionalFormatting sqref="J70">
    <cfRule type="expression" priority="17" dxfId="33" stopIfTrue="1">
      <formula>$G$70="нет"</formula>
    </cfRule>
  </conditionalFormatting>
  <conditionalFormatting sqref="K61">
    <cfRule type="expression" priority="31" dxfId="33" stopIfTrue="1">
      <formula>$G$73="нет"</formula>
    </cfRule>
  </conditionalFormatting>
  <conditionalFormatting sqref="H63">
    <cfRule type="expression" priority="32" dxfId="34" stopIfTrue="1">
      <formula>$G$67&gt;0</formula>
    </cfRule>
  </conditionalFormatting>
  <conditionalFormatting sqref="C27">
    <cfRule type="expression" priority="11" dxfId="35" stopIfTrue="1">
      <formula>"$A$23=""-"""</formula>
    </cfRule>
  </conditionalFormatting>
  <conditionalFormatting sqref="F35:I35">
    <cfRule type="expression" priority="34" dxfId="29" stopIfTrue="1">
      <formula>$D$33&lt;&gt;"нет"</formula>
    </cfRule>
  </conditionalFormatting>
  <conditionalFormatting sqref="B58:J60">
    <cfRule type="expression" priority="35" dxfId="29" stopIfTrue="1">
      <formula>$A$56="нет"</formula>
    </cfRule>
  </conditionalFormatting>
  <conditionalFormatting sqref="E56:J56">
    <cfRule type="expression" priority="36" dxfId="36" stopIfTrue="1">
      <formula>$A$56="нет"</formula>
    </cfRule>
  </conditionalFormatting>
  <dataValidations count="42"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0">
      <formula1>2000+H98-5</formula1>
      <formula2>2000+H98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42 E46 E50">
      <formula1>1900</formula1>
      <formula2>K42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33">
      <formula1>M33</formula1>
      <formula2>N33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56">
      <formula1>L56</formula1>
      <formula2>K56</formula2>
    </dataValidation>
    <dataValidation allowBlank="1" showInputMessage="1" showErrorMessage="1" promptTitle="Введите" prompt="ФИО полностью" sqref="K90 C19:I20 C22:I22"/>
    <dataValidation type="whole" showInputMessage="1" showErrorMessage="1" sqref="C98">
      <formula1>1</formula1>
      <formula2>31</formula2>
    </dataValidation>
    <dataValidation type="list" showInputMessage="1" showErrorMessage="1" promptTitle="Воспользуйтесь кнопкой" prompt="справа" sqref="E98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98">
      <formula1>12</formula1>
      <formula2>25</formula2>
    </dataValidation>
    <dataValidation allowBlank="1" showInputMessage="1" showErrorMessage="1" promptTitle="Введите" prompt="ФИО полностью&#10;" sqref="C89 C91 C93 C95"/>
    <dataValidation type="list" allowBlank="1" showInputMessage="1" showErrorMessage="1" sqref="F87">
      <formula1>"1, 2"</formula1>
    </dataValidation>
    <dataValidation type="list" showInputMessage="1" showErrorMessage="1" promptTitle="Выберите из списка" prompt=" (нет/да)" sqref="I77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79">
      <formula1>"нет, да"</formula1>
    </dataValidation>
    <dataValidation type="list" showInputMessage="1" showErrorMessage="1" sqref="G65:H66 G69:H70">
      <formula1>"нет, да"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58">
      <formula1>190</formula1>
    </dataValidation>
    <dataValidation type="list" allowBlank="1" showInputMessage="1" showErrorMessage="1" promptTitle="Выберите из списка" prompt="год окончания&#10;   или &#10;курс обучения" sqref="E56:G56">
      <formula1>"год окончания, курс обучения, "</formula1>
    </dataValidation>
    <dataValidation type="list" showInputMessage="1" showErrorMessage="1" promptTitle="Выберите из списка" prompt="воспользуйтесь кнопкой" sqref="A63:E63">
      <formula1>$L$59:$L$63</formula1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56">
      <formula1>1</formula1>
      <formula2>1000</formula2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63">
      <formula1>0</formula1>
      <formula2>900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56:C56">
      <formula1>$N$61:$N$63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61">
      <formula1>2000+год-5</formula1>
      <formula2>2000+год</formula2>
    </dataValidation>
    <dataValidation type="list" allowBlank="1" showInputMessage="1" showErrorMessage="1" promptTitle="выберите из списка" prompt="воспользуйтесь кнопкой" sqref="D33:E33">
      <formula1>"высшая, первая, вторая, нет"</formula1>
    </dataValidation>
    <dataValidation type="list" showInputMessage="1" showErrorMessage="1" promptTitle="Выберите из списка" prompt="воспользуйтесь кнопкой" sqref="E32">
      <formula1>"лет, год, года, "</formula1>
    </dataValidation>
    <dataValidation type="whole" showInputMessage="1" showErrorMessage="1" promptTitle="Введите" prompt="целое число лет" sqref="D32">
      <formula1>1</formula1>
      <formula2>90</formula2>
    </dataValidation>
    <dataValidation type="list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!&#10;&#10;Вы уверены?" sqref="G21:I21">
      <formula1>$E$4:$E$16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25:J25">
      <formula1>0</formula1>
      <formula2>122</formula2>
    </dataValidation>
    <dataValidation errorStyle="information" allowBlank="1" showInputMessage="1" showErrorMessage="1" errorTitle="Внимание!" error="Длина строки более 60 символов" sqref="J26:J27 I26"/>
    <dataValidation type="list" showDropDown="1" showInputMessage="1" showErrorMessage="1" errorTitle="Внимание!" error="Должности нет в списке!&#10;&#10;Воспользуйтесь кнопкой справа" sqref="C26:H26">
      <formula1>$A$127:$A$160</formula1>
    </dataValidation>
    <dataValidation errorStyle="information" allowBlank="1" sqref="J30:J31 A30:B31 C30"/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(есть только 3 строки)&#10;Убедитесь, что наменование умещается на листе &quot;ЭЗ&quot;&#10;В противном случае используйте сокращенное наименование ОУ" sqref="C23:I24">
      <formula1>0</formula1>
      <formula2>180</formula2>
    </dataValidation>
    <dataValidation errorStyle="information" type="list" allowBlank="1" showErrorMessage="1" prompt="Например, &#10;русского языка и литературы&#10;или&#10;экономики" errorTitle="Внимание!" error="выберите из списка" sqref="C27:I27">
      <formula1>$K$4:$K$14</formula1>
    </dataValidation>
    <dataValidation type="list" showInputMessage="1" showErrorMessage="1" sqref="N44:O4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---&#10;Проверьте, что текст виден полностью на листе &quot;ЭЗ&quot;" sqref="B48:J49">
      <formula1>150</formula1>
    </dataValidation>
    <dataValidation type="list" allowBlank="1" showInputMessage="1" showErrorMessage="1" promptTitle="Выберите из списка" prompt="воспользуйтесь кнопкой" sqref="D35:E35">
      <formula1>"первая, высшая"</formula1>
    </dataValidation>
    <dataValidation type="list" allowBlank="1" showInputMessage="1" showErrorMessage="1" sqref="A40:A41 A48:A49 A44:A45">
      <formula1>$L$37:$O$37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35:H35">
      <formula1>$L$34:$N$34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$B$108:$H$108</formula1>
    </dataValidation>
    <dataValidation type="list" allowBlank="1" showInputMessage="1" showErrorMessage="1" sqref="H13:J16">
      <formula1>$L$11:$L$14</formula1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35">
      <formula1>25569</formula1>
      <formula2>N33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0:J41">
      <formula1>170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Проверьте, что текст виден полностью на листе &quot;ЭЗ&quot;" sqref="B44:J45">
      <formula1>150</formula1>
    </dataValidation>
    <dataValidation errorStyle="warning" type="list" showInputMessage="1" showErrorMessage="1" errorTitle="Внимание! нет в списке!" error="&#10;Вы уверены ?&#10;-----------------" sqref="B37:E37">
      <formula1>$L$37:$N$37</formula1>
    </dataValidation>
  </dataValidations>
  <hyperlinks>
    <hyperlink ref="A125" location="ЭЗ!B36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  <hyperlink ref="E5:E16" location="'общие сведения'!G21" tooltip="Выберите в строке &quot;Муниципальное образование&quot;" display="'общие сведения'!G21"/>
    <hyperlink ref="A163:I163" location="proverka" tooltip="Щелкните" display="Проверить правильность заполнения данных"/>
  </hyperlinks>
  <printOptions/>
  <pageMargins left="0.7480314960629921" right="0.31496062992125984" top="0.7874015748031497" bottom="0.3937007874015748" header="0.31496062992125984" footer="0.31496062992125984"/>
  <pageSetup fitToHeight="1" fitToWidth="1" horizontalDpi="600" verticalDpi="600" orientation="portrait" paperSize="9" scale="59" r:id="rId3"/>
  <headerFooter alignWithMargins="0">
    <oddHeader>&amp;C&amp;8&amp;D,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06"/>
  <sheetViews>
    <sheetView showGridLines="0" showRowColHeaders="0" showOutlineSymbols="0" zoomScaleSheetLayoutView="100" workbookViewId="0" topLeftCell="A1">
      <selection activeCell="A34" sqref="A34:I34"/>
    </sheetView>
  </sheetViews>
  <sheetFormatPr defaultColWidth="9.00390625" defaultRowHeight="12.75"/>
  <cols>
    <col min="1" max="1" width="5.00390625" style="7" customWidth="1"/>
    <col min="2" max="2" width="10.875" style="150" customWidth="1"/>
    <col min="3" max="3" width="13.375" style="150" customWidth="1"/>
    <col min="4" max="4" width="12.625" style="151" customWidth="1"/>
    <col min="5" max="5" width="10.00390625" style="151" customWidth="1"/>
    <col min="6" max="9" width="11.875" style="151" customWidth="1"/>
    <col min="10" max="10" width="0.74609375" style="3" hidden="1" customWidth="1"/>
    <col min="11" max="11" width="13.75390625" style="153" hidden="1" customWidth="1"/>
    <col min="12" max="12" width="5.75390625" style="153" hidden="1" customWidth="1"/>
    <col min="13" max="13" width="5.625" style="153" hidden="1" customWidth="1"/>
    <col min="14" max="14" width="11.625" style="71" hidden="1" customWidth="1"/>
    <col min="15" max="15" width="4.25390625" style="3" hidden="1" customWidth="1"/>
    <col min="16" max="16" width="13.00390625" style="3" hidden="1" customWidth="1"/>
    <col min="17" max="17" width="13.875" style="3" hidden="1" customWidth="1"/>
    <col min="18" max="18" width="1.37890625" style="299" hidden="1" customWidth="1"/>
    <col min="19" max="19" width="0.6171875" style="3" customWidth="1"/>
    <col min="20" max="16384" width="9.125" style="3" customWidth="1"/>
  </cols>
  <sheetData>
    <row r="1" spans="1:57" s="384" customFormat="1" ht="15.75">
      <c r="A1" s="382"/>
      <c r="B1" s="911" t="s">
        <v>520</v>
      </c>
      <c r="C1" s="911"/>
      <c r="D1" s="911"/>
      <c r="E1" s="911"/>
      <c r="F1" s="911" t="s">
        <v>521</v>
      </c>
      <c r="G1" s="911"/>
      <c r="H1" s="911"/>
      <c r="I1" s="911"/>
      <c r="J1" s="355"/>
      <c r="K1" s="247"/>
      <c r="L1" s="324" t="s">
        <v>248</v>
      </c>
      <c r="M1" s="153"/>
      <c r="N1" s="248"/>
      <c r="O1" s="249"/>
      <c r="P1"/>
      <c r="Q1"/>
      <c r="R1"/>
      <c r="S1" s="385" t="str">
        <f>версия</f>
        <v>  ЭЗ - 2018 г.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386"/>
      <c r="AM1" s="386"/>
      <c r="AN1" s="383"/>
      <c r="AO1" s="383"/>
      <c r="AP1" s="383"/>
      <c r="AQ1" s="383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</row>
    <row r="2" spans="1:57" s="384" customFormat="1" ht="15.75" hidden="1">
      <c r="A2" s="382"/>
      <c r="B2" s="382"/>
      <c r="C2" s="386"/>
      <c r="D2" s="386"/>
      <c r="E2" s="386"/>
      <c r="F2" s="386"/>
      <c r="G2" s="386"/>
      <c r="H2"/>
      <c r="I2"/>
      <c r="J2" s="355"/>
      <c r="K2" s="421" t="s">
        <v>178</v>
      </c>
      <c r="L2" s="420"/>
      <c r="M2" s="421" t="s">
        <v>181</v>
      </c>
      <c r="N2" s="420"/>
      <c r="O2" s="422">
        <f>LEN(M2)</f>
        <v>11</v>
      </c>
      <c r="P2"/>
      <c r="Q2"/>
      <c r="R2"/>
      <c r="S2" s="38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386"/>
      <c r="AM2" s="386"/>
      <c r="AN2" s="383"/>
      <c r="AO2" s="383"/>
      <c r="AP2" s="383"/>
      <c r="AQ2" s="383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</row>
    <row r="3" spans="1:57" s="384" customFormat="1" ht="15.75" hidden="1">
      <c r="A3" s="382"/>
      <c r="B3" s="382"/>
      <c r="C3" s="386"/>
      <c r="D3" s="386"/>
      <c r="E3" s="386"/>
      <c r="F3" s="386"/>
      <c r="G3" s="386"/>
      <c r="H3"/>
      <c r="I3"/>
      <c r="J3" s="355"/>
      <c r="K3" s="421" t="s">
        <v>193</v>
      </c>
      <c r="L3" s="420"/>
      <c r="M3" s="421" t="s">
        <v>196</v>
      </c>
      <c r="N3" s="420"/>
      <c r="O3" s="422">
        <f aca="true" t="shared" si="0" ref="O3:O31">LEN(M3)</f>
        <v>15</v>
      </c>
      <c r="P3"/>
      <c r="Q3"/>
      <c r="R3"/>
      <c r="S3" s="387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386"/>
      <c r="AM3" s="386"/>
      <c r="AN3" s="383"/>
      <c r="AO3" s="383"/>
      <c r="AP3" s="383"/>
      <c r="AQ3" s="383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</row>
    <row r="4" spans="1:57" s="384" customFormat="1" ht="15.75" hidden="1">
      <c r="A4" s="382"/>
      <c r="B4" s="382"/>
      <c r="C4" s="386"/>
      <c r="D4" s="386"/>
      <c r="E4" s="386"/>
      <c r="F4" s="386"/>
      <c r="G4" s="386"/>
      <c r="H4"/>
      <c r="I4"/>
      <c r="J4" s="355"/>
      <c r="K4" s="421" t="s">
        <v>180</v>
      </c>
      <c r="L4" s="420"/>
      <c r="M4" s="421" t="s">
        <v>182</v>
      </c>
      <c r="N4" s="420"/>
      <c r="O4" s="422">
        <f t="shared" si="0"/>
        <v>11</v>
      </c>
      <c r="P4"/>
      <c r="Q4"/>
      <c r="R4"/>
      <c r="S4" s="387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 s="386"/>
      <c r="AM4" s="386"/>
      <c r="AN4" s="383"/>
      <c r="AO4" s="383"/>
      <c r="AP4" s="383"/>
      <c r="AQ4" s="383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</row>
    <row r="5" spans="1:57" s="384" customFormat="1" ht="15.75" hidden="1">
      <c r="A5" s="382"/>
      <c r="B5" s="382"/>
      <c r="C5" s="386"/>
      <c r="D5" s="386"/>
      <c r="E5" s="386"/>
      <c r="F5" s="386"/>
      <c r="G5" s="386"/>
      <c r="H5"/>
      <c r="I5"/>
      <c r="J5" s="355"/>
      <c r="K5" s="421" t="s">
        <v>199</v>
      </c>
      <c r="L5" s="420"/>
      <c r="M5" s="421" t="s">
        <v>38</v>
      </c>
      <c r="N5" s="420"/>
      <c r="O5" s="422">
        <f t="shared" si="0"/>
        <v>20</v>
      </c>
      <c r="P5"/>
      <c r="Q5"/>
      <c r="R5"/>
      <c r="S5" s="38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 s="386"/>
      <c r="AM5" s="386"/>
      <c r="AN5" s="383"/>
      <c r="AO5" s="383"/>
      <c r="AP5" s="383"/>
      <c r="AQ5" s="383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82"/>
      <c r="BE5" s="382"/>
    </row>
    <row r="6" spans="1:57" s="384" customFormat="1" ht="15.75" hidden="1">
      <c r="A6" s="382"/>
      <c r="B6" s="382"/>
      <c r="C6" s="386"/>
      <c r="D6" s="386"/>
      <c r="E6" s="386"/>
      <c r="F6" s="386"/>
      <c r="G6" s="386"/>
      <c r="H6"/>
      <c r="I6"/>
      <c r="J6" s="355"/>
      <c r="K6" s="421" t="s">
        <v>200</v>
      </c>
      <c r="L6" s="420"/>
      <c r="M6" s="421" t="s">
        <v>39</v>
      </c>
      <c r="N6" s="420"/>
      <c r="O6" s="422">
        <f t="shared" si="0"/>
        <v>28</v>
      </c>
      <c r="P6"/>
      <c r="Q6"/>
      <c r="R6"/>
      <c r="S6" s="387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 s="386"/>
      <c r="AM6" s="386"/>
      <c r="AN6" s="383"/>
      <c r="AO6" s="383"/>
      <c r="AP6" s="383"/>
      <c r="AQ6" s="383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</row>
    <row r="7" spans="1:57" s="384" customFormat="1" ht="15.75" hidden="1">
      <c r="A7" s="382"/>
      <c r="B7" s="382"/>
      <c r="C7" s="386"/>
      <c r="D7" s="386"/>
      <c r="E7" s="386"/>
      <c r="F7" s="386"/>
      <c r="G7" s="386"/>
      <c r="H7"/>
      <c r="I7"/>
      <c r="J7" s="355"/>
      <c r="K7" s="421" t="s">
        <v>36</v>
      </c>
      <c r="L7" s="420"/>
      <c r="M7" s="421" t="s">
        <v>40</v>
      </c>
      <c r="N7" s="420"/>
      <c r="O7" s="422">
        <f t="shared" si="0"/>
        <v>29</v>
      </c>
      <c r="P7"/>
      <c r="Q7"/>
      <c r="R7"/>
      <c r="S7" s="38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 s="386"/>
      <c r="AM7" s="386"/>
      <c r="AN7" s="383"/>
      <c r="AO7" s="383"/>
      <c r="AP7" s="383"/>
      <c r="AQ7" s="383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</row>
    <row r="8" spans="1:57" s="384" customFormat="1" ht="15.75" hidden="1">
      <c r="A8" s="382"/>
      <c r="B8" s="382"/>
      <c r="C8" s="386"/>
      <c r="D8" s="386"/>
      <c r="E8" s="386"/>
      <c r="F8" s="386"/>
      <c r="G8" s="386"/>
      <c r="H8"/>
      <c r="I8"/>
      <c r="J8" s="355"/>
      <c r="K8" s="421" t="s">
        <v>201</v>
      </c>
      <c r="L8" s="420"/>
      <c r="M8" s="421" t="s">
        <v>41</v>
      </c>
      <c r="N8" s="420"/>
      <c r="O8" s="422">
        <f t="shared" si="0"/>
        <v>21</v>
      </c>
      <c r="P8"/>
      <c r="Q8"/>
      <c r="R8"/>
      <c r="S8" s="38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 s="386"/>
      <c r="AM8" s="386"/>
      <c r="AN8" s="383"/>
      <c r="AO8" s="383"/>
      <c r="AP8" s="383"/>
      <c r="AQ8" s="383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</row>
    <row r="9" spans="1:57" s="384" customFormat="1" ht="15.75" hidden="1">
      <c r="A9" s="382"/>
      <c r="B9" s="382"/>
      <c r="C9" s="386"/>
      <c r="D9" s="386"/>
      <c r="E9" s="386"/>
      <c r="F9" s="386"/>
      <c r="G9" s="386"/>
      <c r="H9"/>
      <c r="I9"/>
      <c r="J9" s="355"/>
      <c r="K9" s="421" t="s">
        <v>202</v>
      </c>
      <c r="L9" s="420"/>
      <c r="M9" s="421" t="s">
        <v>42</v>
      </c>
      <c r="N9" s="420"/>
      <c r="O9" s="422">
        <f t="shared" si="0"/>
        <v>15</v>
      </c>
      <c r="P9"/>
      <c r="Q9"/>
      <c r="R9"/>
      <c r="S9" s="387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 s="386"/>
      <c r="AM9" s="386"/>
      <c r="AN9" s="383"/>
      <c r="AO9" s="383"/>
      <c r="AP9" s="383"/>
      <c r="AQ9" s="383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</row>
    <row r="10" spans="1:57" s="384" customFormat="1" ht="15.75" hidden="1">
      <c r="A10" s="382"/>
      <c r="B10" s="382"/>
      <c r="C10" s="386"/>
      <c r="D10" s="386"/>
      <c r="E10" s="386"/>
      <c r="F10" s="386"/>
      <c r="G10" s="386"/>
      <c r="H10"/>
      <c r="I10"/>
      <c r="J10" s="355"/>
      <c r="K10" s="421" t="s">
        <v>189</v>
      </c>
      <c r="L10" s="420"/>
      <c r="M10" s="421" t="s">
        <v>190</v>
      </c>
      <c r="N10" s="420"/>
      <c r="O10" s="422">
        <f t="shared" si="0"/>
        <v>8</v>
      </c>
      <c r="P10"/>
      <c r="Q10"/>
      <c r="R10"/>
      <c r="S10" s="38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 s="386"/>
      <c r="AM10" s="386"/>
      <c r="AN10" s="383"/>
      <c r="AO10" s="383"/>
      <c r="AP10" s="383"/>
      <c r="AQ10" s="383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</row>
    <row r="11" spans="1:57" s="384" customFormat="1" ht="15.75" hidden="1">
      <c r="A11" s="382"/>
      <c r="B11" s="382"/>
      <c r="C11" s="386"/>
      <c r="D11" s="386"/>
      <c r="E11" s="386"/>
      <c r="F11" s="386"/>
      <c r="G11" s="386"/>
      <c r="H11"/>
      <c r="I11"/>
      <c r="J11" s="355"/>
      <c r="K11" s="421" t="s">
        <v>37</v>
      </c>
      <c r="L11" s="420"/>
      <c r="M11" s="421" t="s">
        <v>43</v>
      </c>
      <c r="N11" s="420"/>
      <c r="O11" s="422">
        <f t="shared" si="0"/>
        <v>13</v>
      </c>
      <c r="P11"/>
      <c r="Q11"/>
      <c r="R11"/>
      <c r="S11" s="38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 s="386"/>
      <c r="AM11" s="386"/>
      <c r="AN11" s="383"/>
      <c r="AO11" s="383"/>
      <c r="AP11" s="383"/>
      <c r="AQ11" s="383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</row>
    <row r="12" spans="1:57" s="384" customFormat="1" ht="15.75" hidden="1">
      <c r="A12" s="382"/>
      <c r="B12" s="382"/>
      <c r="C12" s="386"/>
      <c r="D12" s="386"/>
      <c r="E12" s="386"/>
      <c r="F12" s="386"/>
      <c r="G12" s="386"/>
      <c r="H12"/>
      <c r="I12"/>
      <c r="J12" s="355"/>
      <c r="K12" s="421" t="s">
        <v>209</v>
      </c>
      <c r="L12" s="420"/>
      <c r="M12" s="421" t="s">
        <v>44</v>
      </c>
      <c r="N12" s="420"/>
      <c r="O12" s="422">
        <f t="shared" si="0"/>
        <v>9</v>
      </c>
      <c r="P12"/>
      <c r="Q12"/>
      <c r="R12"/>
      <c r="S12" s="387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 s="386"/>
      <c r="AM12" s="386"/>
      <c r="AN12" s="383"/>
      <c r="AO12" s="383"/>
      <c r="AP12" s="383"/>
      <c r="AQ12" s="383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</row>
    <row r="13" spans="1:57" s="384" customFormat="1" ht="15.75" hidden="1">
      <c r="A13" s="382"/>
      <c r="B13" s="382"/>
      <c r="C13" s="386"/>
      <c r="D13" s="386"/>
      <c r="E13" s="386"/>
      <c r="F13" s="386"/>
      <c r="G13" s="386"/>
      <c r="H13"/>
      <c r="I13"/>
      <c r="J13" s="355"/>
      <c r="K13" s="421" t="s">
        <v>203</v>
      </c>
      <c r="L13" s="420"/>
      <c r="M13" s="421" t="s">
        <v>45</v>
      </c>
      <c r="N13" s="420"/>
      <c r="O13" s="422">
        <f t="shared" si="0"/>
        <v>25</v>
      </c>
      <c r="P13"/>
      <c r="Q13"/>
      <c r="R13"/>
      <c r="S13" s="38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386"/>
      <c r="AM13" s="386"/>
      <c r="AN13" s="383"/>
      <c r="AO13" s="383"/>
      <c r="AP13" s="383"/>
      <c r="AQ13" s="383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</row>
    <row r="14" spans="1:57" s="384" customFormat="1" ht="15.75" hidden="1">
      <c r="A14" s="382"/>
      <c r="B14" s="382"/>
      <c r="C14" s="386"/>
      <c r="D14" s="386"/>
      <c r="E14" s="386"/>
      <c r="F14" s="386"/>
      <c r="G14" s="386"/>
      <c r="H14"/>
      <c r="I14"/>
      <c r="J14" s="355"/>
      <c r="K14" s="421" t="s">
        <v>194</v>
      </c>
      <c r="L14" s="420"/>
      <c r="M14" s="421" t="s">
        <v>195</v>
      </c>
      <c r="N14" s="420"/>
      <c r="O14" s="422">
        <f t="shared" si="0"/>
        <v>8</v>
      </c>
      <c r="P14"/>
      <c r="Q14"/>
      <c r="R14"/>
      <c r="S14" s="387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 s="386"/>
      <c r="AM14" s="386"/>
      <c r="AN14" s="383"/>
      <c r="AO14" s="383"/>
      <c r="AP14" s="383"/>
      <c r="AQ14" s="383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</row>
    <row r="15" spans="1:57" s="384" customFormat="1" ht="15.75" hidden="1">
      <c r="A15" s="382"/>
      <c r="B15" s="382"/>
      <c r="C15" s="386"/>
      <c r="D15" s="386"/>
      <c r="E15" s="386"/>
      <c r="F15" s="386"/>
      <c r="G15" s="386"/>
      <c r="H15"/>
      <c r="I15"/>
      <c r="J15" s="355"/>
      <c r="K15" s="421" t="s">
        <v>204</v>
      </c>
      <c r="L15" s="420"/>
      <c r="M15" s="421" t="s">
        <v>282</v>
      </c>
      <c r="N15" s="420"/>
      <c r="O15" s="422">
        <f t="shared" si="0"/>
        <v>36</v>
      </c>
      <c r="P15"/>
      <c r="Q15"/>
      <c r="R15"/>
      <c r="S15" s="387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 s="386"/>
      <c r="AM15" s="386"/>
      <c r="AN15" s="383"/>
      <c r="AO15" s="383"/>
      <c r="AP15" s="383"/>
      <c r="AQ15" s="383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</row>
    <row r="16" spans="1:57" s="384" customFormat="1" ht="15.75" hidden="1">
      <c r="A16" s="382"/>
      <c r="B16" s="382"/>
      <c r="C16" s="386"/>
      <c r="D16" s="386"/>
      <c r="E16" s="386"/>
      <c r="F16" s="386"/>
      <c r="G16" s="386"/>
      <c r="H16"/>
      <c r="I16"/>
      <c r="J16" s="355"/>
      <c r="K16" s="421" t="s">
        <v>205</v>
      </c>
      <c r="L16" s="420"/>
      <c r="M16" s="421" t="s">
        <v>46</v>
      </c>
      <c r="N16" s="420"/>
      <c r="O16" s="422">
        <f t="shared" si="0"/>
        <v>21</v>
      </c>
      <c r="P16"/>
      <c r="Q16"/>
      <c r="R16"/>
      <c r="S16" s="387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386"/>
      <c r="AM16" s="386"/>
      <c r="AN16" s="383"/>
      <c r="AO16" s="383"/>
      <c r="AP16" s="383"/>
      <c r="AQ16" s="383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</row>
    <row r="17" spans="1:57" s="384" customFormat="1" ht="15.75" hidden="1">
      <c r="A17" s="382"/>
      <c r="B17" s="382"/>
      <c r="C17" s="386"/>
      <c r="D17" s="386"/>
      <c r="E17" s="386"/>
      <c r="F17" s="386"/>
      <c r="G17" s="386"/>
      <c r="H17"/>
      <c r="I17"/>
      <c r="J17" s="355"/>
      <c r="K17" s="421" t="s">
        <v>206</v>
      </c>
      <c r="L17" s="420"/>
      <c r="M17" s="421" t="s">
        <v>48</v>
      </c>
      <c r="N17" s="420"/>
      <c r="O17" s="422">
        <f t="shared" si="0"/>
        <v>18</v>
      </c>
      <c r="P17"/>
      <c r="Q17"/>
      <c r="R17"/>
      <c r="S17" s="38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 s="386"/>
      <c r="AM17" s="386"/>
      <c r="AN17" s="383"/>
      <c r="AO17" s="383"/>
      <c r="AP17" s="383"/>
      <c r="AQ17" s="383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</row>
    <row r="18" spans="1:57" s="384" customFormat="1" ht="15.75" hidden="1">
      <c r="A18" s="382"/>
      <c r="B18" s="382"/>
      <c r="C18" s="386"/>
      <c r="D18" s="386"/>
      <c r="E18" s="386"/>
      <c r="F18" s="386"/>
      <c r="G18" s="386"/>
      <c r="H18"/>
      <c r="I18"/>
      <c r="J18" s="355"/>
      <c r="K18" s="421" t="s">
        <v>185</v>
      </c>
      <c r="L18" s="420"/>
      <c r="M18" s="421" t="s">
        <v>186</v>
      </c>
      <c r="N18" s="420"/>
      <c r="O18" s="422">
        <f t="shared" si="0"/>
        <v>13</v>
      </c>
      <c r="P18"/>
      <c r="Q18"/>
      <c r="R18"/>
      <c r="S18" s="38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 s="386"/>
      <c r="AM18" s="386"/>
      <c r="AN18" s="383"/>
      <c r="AO18" s="383"/>
      <c r="AP18" s="383"/>
      <c r="AQ18" s="383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</row>
    <row r="19" spans="1:57" s="384" customFormat="1" ht="15.75" hidden="1">
      <c r="A19" s="382"/>
      <c r="B19" s="382"/>
      <c r="C19" s="386"/>
      <c r="D19" s="386"/>
      <c r="E19" s="386"/>
      <c r="F19" s="386"/>
      <c r="G19" s="386"/>
      <c r="H19"/>
      <c r="I19"/>
      <c r="J19" s="355"/>
      <c r="K19" s="421" t="s">
        <v>211</v>
      </c>
      <c r="L19" s="420"/>
      <c r="M19" s="421" t="s">
        <v>212</v>
      </c>
      <c r="N19" s="420"/>
      <c r="O19" s="422">
        <f t="shared" si="0"/>
        <v>27</v>
      </c>
      <c r="P19"/>
      <c r="Q19"/>
      <c r="R19"/>
      <c r="S19" s="387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386"/>
      <c r="AM19" s="386"/>
      <c r="AN19" s="383"/>
      <c r="AO19" s="383"/>
      <c r="AP19" s="383"/>
      <c r="AQ19" s="383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</row>
    <row r="20" spans="1:57" s="384" customFormat="1" ht="15.75" hidden="1">
      <c r="A20" s="382"/>
      <c r="B20" s="382"/>
      <c r="C20" s="386"/>
      <c r="D20" s="386"/>
      <c r="E20" s="386"/>
      <c r="F20" s="386"/>
      <c r="G20" s="386"/>
      <c r="H20"/>
      <c r="I20"/>
      <c r="J20" s="355"/>
      <c r="K20" s="421" t="s">
        <v>191</v>
      </c>
      <c r="L20" s="420"/>
      <c r="M20" s="421" t="s">
        <v>192</v>
      </c>
      <c r="N20" s="420"/>
      <c r="O20" s="422">
        <f t="shared" si="0"/>
        <v>9</v>
      </c>
      <c r="P20"/>
      <c r="Q20"/>
      <c r="R20"/>
      <c r="S20" s="387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386"/>
      <c r="AM20" s="386"/>
      <c r="AN20" s="383"/>
      <c r="AO20" s="383"/>
      <c r="AP20" s="383"/>
      <c r="AQ20" s="383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</row>
    <row r="21" spans="1:57" s="384" customFormat="1" ht="15.75" hidden="1">
      <c r="A21" s="382"/>
      <c r="B21" s="382"/>
      <c r="C21" s="386"/>
      <c r="D21" s="386"/>
      <c r="E21" s="386"/>
      <c r="F21" s="386"/>
      <c r="G21" s="386"/>
      <c r="H21"/>
      <c r="I21"/>
      <c r="J21" s="355"/>
      <c r="K21" s="421" t="s">
        <v>197</v>
      </c>
      <c r="L21" s="420"/>
      <c r="M21" s="421" t="s">
        <v>198</v>
      </c>
      <c r="N21" s="420"/>
      <c r="O21" s="422">
        <f t="shared" si="0"/>
        <v>28</v>
      </c>
      <c r="P21"/>
      <c r="Q21"/>
      <c r="R21"/>
      <c r="S21" s="387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 s="386"/>
      <c r="AM21" s="386"/>
      <c r="AN21" s="383"/>
      <c r="AO21" s="383"/>
      <c r="AP21" s="383"/>
      <c r="AQ21" s="383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</row>
    <row r="22" spans="1:57" s="384" customFormat="1" ht="15.75" hidden="1">
      <c r="A22" s="382"/>
      <c r="B22" s="382"/>
      <c r="C22" s="386"/>
      <c r="D22" s="386"/>
      <c r="E22" s="386"/>
      <c r="F22" s="386"/>
      <c r="G22" s="386"/>
      <c r="H22"/>
      <c r="I22"/>
      <c r="J22" s="355"/>
      <c r="K22" s="421" t="s">
        <v>187</v>
      </c>
      <c r="L22" s="420"/>
      <c r="M22" s="421" t="s">
        <v>188</v>
      </c>
      <c r="N22" s="420"/>
      <c r="O22" s="422">
        <f t="shared" si="0"/>
        <v>20</v>
      </c>
      <c r="P22"/>
      <c r="Q22"/>
      <c r="R22"/>
      <c r="S22" s="387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386"/>
      <c r="AM22" s="386"/>
      <c r="AN22" s="383"/>
      <c r="AO22" s="383"/>
      <c r="AP22" s="383"/>
      <c r="AQ22" s="383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</row>
    <row r="23" spans="1:57" s="384" customFormat="1" ht="15.75" hidden="1">
      <c r="A23" s="382"/>
      <c r="B23" s="382"/>
      <c r="C23" s="386"/>
      <c r="D23" s="386"/>
      <c r="E23" s="386"/>
      <c r="F23" s="386"/>
      <c r="G23" s="386"/>
      <c r="H23"/>
      <c r="I23"/>
      <c r="J23" s="355"/>
      <c r="K23" s="421" t="s">
        <v>179</v>
      </c>
      <c r="L23" s="420"/>
      <c r="M23" s="421" t="s">
        <v>183</v>
      </c>
      <c r="N23" s="420"/>
      <c r="O23" s="422">
        <f t="shared" si="0"/>
        <v>20</v>
      </c>
      <c r="P23"/>
      <c r="Q23"/>
      <c r="R23"/>
      <c r="S23" s="38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 s="386"/>
      <c r="AM23" s="386"/>
      <c r="AN23" s="383"/>
      <c r="AO23" s="383"/>
      <c r="AP23" s="383"/>
      <c r="AQ23" s="383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</row>
    <row r="24" spans="1:57" s="384" customFormat="1" ht="15.75" hidden="1">
      <c r="A24" s="382"/>
      <c r="B24" s="382"/>
      <c r="C24" s="386"/>
      <c r="D24" s="386"/>
      <c r="E24" s="386"/>
      <c r="F24" s="386"/>
      <c r="G24" s="386"/>
      <c r="H24"/>
      <c r="I24"/>
      <c r="J24" s="355"/>
      <c r="K24" s="421" t="s">
        <v>34</v>
      </c>
      <c r="L24" s="420"/>
      <c r="M24" s="421" t="s">
        <v>49</v>
      </c>
      <c r="N24" s="420"/>
      <c r="O24" s="422">
        <f t="shared" si="0"/>
        <v>7</v>
      </c>
      <c r="P24"/>
      <c r="Q24"/>
      <c r="R24"/>
      <c r="S24" s="387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 s="386"/>
      <c r="AM24" s="386"/>
      <c r="AN24" s="383"/>
      <c r="AO24" s="383"/>
      <c r="AP24" s="383"/>
      <c r="AQ24" s="383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</row>
    <row r="25" spans="1:57" s="384" customFormat="1" ht="15.75" hidden="1">
      <c r="A25" s="382"/>
      <c r="B25" s="382"/>
      <c r="C25" s="386"/>
      <c r="D25" s="386"/>
      <c r="E25" s="386"/>
      <c r="F25" s="386"/>
      <c r="G25" s="386"/>
      <c r="H25"/>
      <c r="I25"/>
      <c r="J25" s="355"/>
      <c r="K25" s="421" t="s">
        <v>207</v>
      </c>
      <c r="L25" s="420"/>
      <c r="M25" s="421" t="s">
        <v>50</v>
      </c>
      <c r="N25" s="420"/>
      <c r="O25" s="422">
        <f t="shared" si="0"/>
        <v>21</v>
      </c>
      <c r="P25"/>
      <c r="Q25"/>
      <c r="R25"/>
      <c r="S25" s="387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386"/>
      <c r="AM25" s="386"/>
      <c r="AN25" s="383"/>
      <c r="AO25" s="383"/>
      <c r="AP25" s="383"/>
      <c r="AQ25" s="383"/>
      <c r="AR25" s="382"/>
      <c r="AS25" s="382"/>
      <c r="AT25" s="382"/>
      <c r="AU25" s="382"/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</row>
    <row r="26" spans="1:57" s="384" customFormat="1" ht="15.75" hidden="1">
      <c r="A26" s="382"/>
      <c r="B26" s="382"/>
      <c r="C26" s="386"/>
      <c r="D26" s="386"/>
      <c r="E26" s="386"/>
      <c r="F26" s="386"/>
      <c r="G26" s="386"/>
      <c r="H26"/>
      <c r="I26"/>
      <c r="J26" s="355"/>
      <c r="K26" s="421" t="s">
        <v>177</v>
      </c>
      <c r="L26" s="420"/>
      <c r="M26" s="421" t="s">
        <v>184</v>
      </c>
      <c r="N26" s="420"/>
      <c r="O26" s="422">
        <f t="shared" si="0"/>
        <v>7</v>
      </c>
      <c r="P26"/>
      <c r="Q26"/>
      <c r="R26"/>
      <c r="S26" s="387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 s="386"/>
      <c r="AM26" s="386"/>
      <c r="AN26" s="383"/>
      <c r="AO26" s="383"/>
      <c r="AP26" s="383"/>
      <c r="AQ26" s="383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</row>
    <row r="27" spans="1:57" s="384" customFormat="1" ht="15.75" hidden="1">
      <c r="A27" s="382"/>
      <c r="B27" s="382"/>
      <c r="C27" s="386"/>
      <c r="D27" s="386"/>
      <c r="E27" s="386"/>
      <c r="F27" s="386"/>
      <c r="G27" s="386"/>
      <c r="H27"/>
      <c r="I27"/>
      <c r="J27" s="355"/>
      <c r="K27" s="421" t="s">
        <v>35</v>
      </c>
      <c r="L27" s="420"/>
      <c r="M27" s="421" t="s">
        <v>51</v>
      </c>
      <c r="N27" s="420"/>
      <c r="O27" s="422">
        <f t="shared" si="0"/>
        <v>19</v>
      </c>
      <c r="P27"/>
      <c r="Q27"/>
      <c r="R27"/>
      <c r="S27" s="38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 s="386"/>
      <c r="AM27" s="386"/>
      <c r="AN27" s="383"/>
      <c r="AO27" s="383"/>
      <c r="AP27" s="383"/>
      <c r="AQ27" s="383"/>
      <c r="AR27" s="382"/>
      <c r="AS27" s="382"/>
      <c r="AT27" s="382"/>
      <c r="AU27" s="382"/>
      <c r="AV27" s="382"/>
      <c r="AW27" s="382"/>
      <c r="AX27" s="382"/>
      <c r="AY27" s="382"/>
      <c r="AZ27" s="382"/>
      <c r="BA27" s="382"/>
      <c r="BB27" s="382"/>
      <c r="BC27" s="382"/>
      <c r="BD27" s="382"/>
      <c r="BE27" s="382"/>
    </row>
    <row r="28" spans="1:57" s="384" customFormat="1" ht="15.75" hidden="1">
      <c r="A28" s="382"/>
      <c r="B28" s="382"/>
      <c r="C28" s="386"/>
      <c r="D28" s="386"/>
      <c r="E28" s="386"/>
      <c r="F28" s="386"/>
      <c r="G28" s="386"/>
      <c r="H28"/>
      <c r="I28"/>
      <c r="J28" s="355"/>
      <c r="K28" s="421" t="s">
        <v>208</v>
      </c>
      <c r="L28" s="420"/>
      <c r="M28" s="421" t="s">
        <v>52</v>
      </c>
      <c r="N28" s="420"/>
      <c r="O28" s="422">
        <f t="shared" si="0"/>
        <v>16</v>
      </c>
      <c r="P28"/>
      <c r="Q28"/>
      <c r="R28"/>
      <c r="S28" s="387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386"/>
      <c r="AM28" s="386"/>
      <c r="AN28" s="383"/>
      <c r="AO28" s="383"/>
      <c r="AP28" s="383"/>
      <c r="AQ28" s="383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</row>
    <row r="29" spans="1:57" s="384" customFormat="1" ht="15.75" hidden="1">
      <c r="A29" s="382"/>
      <c r="B29" s="382"/>
      <c r="C29" s="386"/>
      <c r="D29" s="386"/>
      <c r="E29" s="386"/>
      <c r="F29" s="386"/>
      <c r="G29" s="386"/>
      <c r="H29"/>
      <c r="I29"/>
      <c r="J29" s="355"/>
      <c r="K29" s="421"/>
      <c r="L29" s="420"/>
      <c r="M29" s="421"/>
      <c r="N29" s="420"/>
      <c r="O29" s="422">
        <f t="shared" si="0"/>
        <v>0</v>
      </c>
      <c r="P29"/>
      <c r="Q29"/>
      <c r="R29"/>
      <c r="S29" s="387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 s="386"/>
      <c r="AM29" s="386"/>
      <c r="AN29" s="383"/>
      <c r="AO29" s="383"/>
      <c r="AP29" s="383"/>
      <c r="AQ29" s="383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</row>
    <row r="30" spans="1:57" s="384" customFormat="1" ht="15.75" hidden="1">
      <c r="A30" s="382"/>
      <c r="B30" s="382"/>
      <c r="C30" s="386"/>
      <c r="D30" s="386"/>
      <c r="E30" s="386"/>
      <c r="F30" s="386"/>
      <c r="G30" s="386"/>
      <c r="H30"/>
      <c r="I30"/>
      <c r="J30" s="355"/>
      <c r="K30" s="421"/>
      <c r="L30" s="420"/>
      <c r="M30" s="421"/>
      <c r="N30" s="420"/>
      <c r="O30" s="422">
        <f t="shared" si="0"/>
        <v>0</v>
      </c>
      <c r="P30"/>
      <c r="Q30"/>
      <c r="R30"/>
      <c r="S30" s="387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 s="386"/>
      <c r="AM30" s="386"/>
      <c r="AN30" s="383"/>
      <c r="AO30" s="383"/>
      <c r="AP30" s="383"/>
      <c r="AQ30" s="383"/>
      <c r="AR30" s="382"/>
      <c r="AS30" s="382"/>
      <c r="AT30" s="382"/>
      <c r="AU30" s="382"/>
      <c r="AV30" s="382"/>
      <c r="AW30" s="382"/>
      <c r="AX30" s="382"/>
      <c r="AY30" s="382"/>
      <c r="AZ30" s="382"/>
      <c r="BA30" s="382"/>
      <c r="BB30" s="382"/>
      <c r="BC30" s="382"/>
      <c r="BD30" s="382"/>
      <c r="BE30" s="382"/>
    </row>
    <row r="31" spans="1:57" s="384" customFormat="1" ht="15.75" hidden="1">
      <c r="A31" s="382"/>
      <c r="B31" s="382"/>
      <c r="C31" s="386"/>
      <c r="D31" s="386"/>
      <c r="E31" s="386"/>
      <c r="F31" s="386"/>
      <c r="G31" s="386"/>
      <c r="H31"/>
      <c r="I31"/>
      <c r="J31" s="355"/>
      <c r="K31" s="421"/>
      <c r="L31" s="420"/>
      <c r="M31" s="421"/>
      <c r="N31" s="420"/>
      <c r="O31" s="422">
        <f t="shared" si="0"/>
        <v>0</v>
      </c>
      <c r="P31"/>
      <c r="Q31"/>
      <c r="R31"/>
      <c r="S31" s="387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386"/>
      <c r="AM31" s="386"/>
      <c r="AN31" s="383"/>
      <c r="AO31" s="383"/>
      <c r="AP31" s="383"/>
      <c r="AQ31" s="383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</row>
    <row r="32" spans="1:57" s="384" customFormat="1" ht="15.75" hidden="1">
      <c r="A32" s="382"/>
      <c r="B32" s="382"/>
      <c r="C32" s="386"/>
      <c r="D32" s="386"/>
      <c r="E32" s="386"/>
      <c r="F32" s="386"/>
      <c r="G32" s="386"/>
      <c r="H32"/>
      <c r="I32"/>
      <c r="J32" s="355"/>
      <c r="K32" s="423" t="str">
        <f>IF(OR(C45=""),"Ошибка !",VLOOKUP(C45,K2:N25,3))</f>
        <v>Ошибка !</v>
      </c>
      <c r="L32" s="424"/>
      <c r="M32" s="427">
        <f>LEN(K32)</f>
        <v>8</v>
      </c>
      <c r="N32" s="425"/>
      <c r="O32" s="3"/>
      <c r="P32"/>
      <c r="Q32"/>
      <c r="R32"/>
      <c r="S32" s="387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 s="386"/>
      <c r="AM32" s="386"/>
      <c r="AN32" s="383"/>
      <c r="AO32" s="383"/>
      <c r="AP32" s="383"/>
      <c r="AQ32" s="383"/>
      <c r="AR32" s="382"/>
      <c r="AS32" s="382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</row>
    <row r="33" spans="1:57" s="384" customFormat="1" ht="15.75" hidden="1">
      <c r="A33" s="382"/>
      <c r="B33" s="382"/>
      <c r="C33" s="386"/>
      <c r="D33" s="386"/>
      <c r="E33" s="386"/>
      <c r="F33" s="386"/>
      <c r="G33" s="386"/>
      <c r="H33"/>
      <c r="I33"/>
      <c r="J33" s="355"/>
      <c r="K33" s="428">
        <f>IF(ISERR(FIND(LEFT(K32,5),C45)),0,1)</f>
        <v>0</v>
      </c>
      <c r="L33" s="958"/>
      <c r="M33" s="958"/>
      <c r="N33" s="426"/>
      <c r="O33" s="3"/>
      <c r="P33"/>
      <c r="Q33"/>
      <c r="R33"/>
      <c r="S33" s="387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 s="386"/>
      <c r="AM33" s="386"/>
      <c r="AN33" s="383"/>
      <c r="AO33" s="383"/>
      <c r="AP33" s="383"/>
      <c r="AQ33" s="383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</row>
    <row r="34" spans="1:19" ht="15">
      <c r="A34" s="940" t="s">
        <v>638</v>
      </c>
      <c r="B34" s="941"/>
      <c r="C34" s="941"/>
      <c r="D34" s="941"/>
      <c r="E34" s="941"/>
      <c r="F34" s="941"/>
      <c r="G34" s="941"/>
      <c r="H34" s="941"/>
      <c r="I34" s="941"/>
      <c r="J34" s="355"/>
      <c r="K34" s="3"/>
      <c r="L34" s="3"/>
      <c r="M34" s="3"/>
      <c r="N34" s="3"/>
      <c r="R34" s="290"/>
      <c r="S34" s="385" t="str">
        <f>'общие сведения'!H11&amp;'общие сведения'!H13</f>
        <v>( педагога дополнительного образования социально-педагогической направленности)</v>
      </c>
    </row>
    <row r="35" spans="1:19" s="336" customFormat="1" ht="3" customHeight="1">
      <c r="A35" s="985"/>
      <c r="B35" s="985"/>
      <c r="C35" s="985"/>
      <c r="D35" s="985"/>
      <c r="E35" s="985"/>
      <c r="F35" s="985"/>
      <c r="G35" s="985"/>
      <c r="H35" s="985"/>
      <c r="I35" s="985"/>
      <c r="J35" s="355"/>
      <c r="R35" s="299"/>
      <c r="S35" s="391"/>
    </row>
    <row r="36" spans="1:19" s="336" customFormat="1" ht="12.75" customHeight="1">
      <c r="A36" s="939" t="str">
        <f>"об уровне квалификации   педагогического работника  
(педагог дополнительного образования "&amp;'общие сведения'!H13&amp;" 
государственных, муниципальных и частных образовательных организаций Московской области"</f>
        <v>об уровне квалификации   педагогического работника  
(педагог дополнительного образования социально-педагогической направленности) 
государственных, муниципальных и частных образовательных организаций Московской области</v>
      </c>
      <c r="B36" s="939"/>
      <c r="C36" s="939"/>
      <c r="D36" s="939"/>
      <c r="E36" s="939"/>
      <c r="F36" s="939"/>
      <c r="G36" s="939"/>
      <c r="H36" s="939"/>
      <c r="I36" s="939"/>
      <c r="J36" s="355"/>
      <c r="K36" s="429" t="s">
        <v>486</v>
      </c>
      <c r="R36" s="299"/>
      <c r="S36" s="391"/>
    </row>
    <row r="37" spans="1:19" s="336" customFormat="1" ht="12.75" customHeight="1">
      <c r="A37" s="939"/>
      <c r="B37" s="939"/>
      <c r="C37" s="939"/>
      <c r="D37" s="939"/>
      <c r="E37" s="939"/>
      <c r="F37" s="939"/>
      <c r="G37" s="939"/>
      <c r="H37" s="939"/>
      <c r="I37" s="939"/>
      <c r="J37" s="355"/>
      <c r="R37" s="299"/>
      <c r="S37" s="391"/>
    </row>
    <row r="38" spans="1:19" s="336" customFormat="1" ht="18.75" customHeight="1">
      <c r="A38" s="939"/>
      <c r="B38" s="939"/>
      <c r="C38" s="939"/>
      <c r="D38" s="939"/>
      <c r="E38" s="939"/>
      <c r="F38" s="939"/>
      <c r="G38" s="939"/>
      <c r="H38" s="939"/>
      <c r="I38" s="939"/>
      <c r="J38" s="355"/>
      <c r="R38" s="299"/>
      <c r="S38" s="391"/>
    </row>
    <row r="39" spans="1:22" s="336" customFormat="1" ht="12.75">
      <c r="A39" s="397" t="s">
        <v>536</v>
      </c>
      <c r="B39" s="398"/>
      <c r="C39" s="398"/>
      <c r="D39" s="398"/>
      <c r="E39" s="398"/>
      <c r="F39" s="398"/>
      <c r="G39" s="398"/>
      <c r="H39" s="75"/>
      <c r="I39" s="75"/>
      <c r="J39" s="355"/>
      <c r="R39" s="299"/>
      <c r="S39" s="391"/>
      <c r="V39" s="3"/>
    </row>
    <row r="40" spans="1:19" s="402" customFormat="1" ht="6.75" customHeight="1">
      <c r="A40" s="399"/>
      <c r="B40" s="400"/>
      <c r="C40" s="400"/>
      <c r="D40" s="401"/>
      <c r="E40" s="401"/>
      <c r="F40" s="401"/>
      <c r="G40" s="401"/>
      <c r="H40" s="401"/>
      <c r="I40" s="401"/>
      <c r="J40" s="355"/>
      <c r="R40" s="293"/>
      <c r="S40" s="403"/>
    </row>
    <row r="41" spans="1:19" s="405" customFormat="1" ht="12.75">
      <c r="A41" s="935" t="s">
        <v>113</v>
      </c>
      <c r="B41" s="935"/>
      <c r="C41" s="935"/>
      <c r="D41" s="942">
        <f>IF('общие сведения'!C19&lt;&gt;"",PROPER(TRIM('общие сведения'!C19)),"")</f>
      </c>
      <c r="E41" s="942"/>
      <c r="F41" s="942"/>
      <c r="G41" s="942"/>
      <c r="H41" s="942"/>
      <c r="I41" s="942"/>
      <c r="J41" s="355"/>
      <c r="R41" s="406"/>
      <c r="S41" s="407"/>
    </row>
    <row r="42" spans="1:19" s="405" customFormat="1" ht="12.75">
      <c r="A42" s="935" t="s">
        <v>149</v>
      </c>
      <c r="B42" s="935"/>
      <c r="C42" s="945">
        <f>IF(fio="","",TRIM('общие сведения'!C23))</f>
      </c>
      <c r="D42" s="945"/>
      <c r="E42" s="945"/>
      <c r="F42" s="945"/>
      <c r="G42" s="945"/>
      <c r="H42" s="945"/>
      <c r="I42" s="945"/>
      <c r="J42" s="355"/>
      <c r="R42" s="406"/>
      <c r="S42" s="407"/>
    </row>
    <row r="43" spans="1:19" s="405" customFormat="1" ht="12.75">
      <c r="A43" s="404"/>
      <c r="B43" s="404"/>
      <c r="C43" s="945"/>
      <c r="D43" s="945"/>
      <c r="E43" s="945"/>
      <c r="F43" s="945"/>
      <c r="G43" s="945"/>
      <c r="H43" s="945"/>
      <c r="I43" s="945"/>
      <c r="J43" s="355"/>
      <c r="R43" s="406"/>
      <c r="S43" s="407"/>
    </row>
    <row r="44" spans="1:19" s="405" customFormat="1" ht="12.75">
      <c r="A44" s="404"/>
      <c r="B44" s="81"/>
      <c r="C44" s="945"/>
      <c r="D44" s="945"/>
      <c r="E44" s="945"/>
      <c r="F44" s="945"/>
      <c r="G44" s="945"/>
      <c r="H44" s="945"/>
      <c r="I44" s="945"/>
      <c r="J44" s="355"/>
      <c r="R44" s="406"/>
      <c r="S44" s="407"/>
    </row>
    <row r="45" spans="1:19" s="405" customFormat="1" ht="12.75">
      <c r="A45" s="935" t="s">
        <v>150</v>
      </c>
      <c r="B45" s="935"/>
      <c r="C45" s="936">
        <f>IF(fio="","",'общие сведения'!K26)</f>
      </c>
      <c r="D45" s="936"/>
      <c r="E45" s="936"/>
      <c r="F45" s="936"/>
      <c r="G45" s="936"/>
      <c r="H45" s="936"/>
      <c r="I45" s="936"/>
      <c r="J45" s="355"/>
      <c r="R45" s="406"/>
      <c r="S45" s="407"/>
    </row>
    <row r="46" spans="1:19" s="405" customFormat="1" ht="12" customHeight="1">
      <c r="A46" s="935" t="s">
        <v>537</v>
      </c>
      <c r="B46" s="935"/>
      <c r="C46" s="936">
        <f>IF(fio="","",'общие сведения'!K27)</f>
      </c>
      <c r="D46" s="936"/>
      <c r="E46" s="936"/>
      <c r="F46" s="936"/>
      <c r="G46" s="936"/>
      <c r="H46" s="936"/>
      <c r="I46" s="936"/>
      <c r="J46" s="355"/>
      <c r="R46" s="406"/>
      <c r="S46" s="407"/>
    </row>
    <row r="47" spans="1:19" s="405" customFormat="1" ht="12.75">
      <c r="A47" s="935" t="s">
        <v>114</v>
      </c>
      <c r="B47" s="935"/>
      <c r="C47" s="935"/>
      <c r="D47" s="944">
        <f>IF(fio="","",IF('общие сведения'!D21="муниципальный район",'общие сведения'!G21,'общие сведения'!D21))</f>
      </c>
      <c r="E47" s="944"/>
      <c r="F47" s="944"/>
      <c r="G47" s="956">
        <f>IF(fio="","",IF('общие сведения'!D21="муниципальный район",'общие сведения'!D21,'общие сведения'!G21))</f>
      </c>
      <c r="H47" s="956"/>
      <c r="I47" s="956"/>
      <c r="J47" s="355"/>
      <c r="R47" s="406"/>
      <c r="S47" s="407"/>
    </row>
    <row r="48" spans="1:19" s="405" customFormat="1" ht="12.75">
      <c r="A48" s="935" t="s">
        <v>160</v>
      </c>
      <c r="B48" s="935"/>
      <c r="C48" s="935"/>
      <c r="D48" s="408">
        <f>IF(fio="","",'общие сведения'!D32)</f>
      </c>
      <c r="E48" s="409">
        <f>IF(fio="","",'общие сведения'!E32)</f>
      </c>
      <c r="F48" s="410"/>
      <c r="G48" s="410"/>
      <c r="H48" s="410"/>
      <c r="I48" s="410"/>
      <c r="J48" s="355"/>
      <c r="R48" s="406"/>
      <c r="S48" s="407"/>
    </row>
    <row r="49" spans="1:19" s="413" customFormat="1" ht="12.75">
      <c r="A49" s="935" t="s">
        <v>161</v>
      </c>
      <c r="B49" s="935"/>
      <c r="C49" s="935"/>
      <c r="D49" s="935"/>
      <c r="E49" s="949">
        <f>IF(fio&lt;&gt;"",'общие сведения'!D33,"")</f>
      </c>
      <c r="F49" s="949"/>
      <c r="G49" s="957" t="s">
        <v>573</v>
      </c>
      <c r="H49" s="957"/>
      <c r="I49" s="412">
        <f>IF(OR('общие сведения'!I33="",E49=""),"",'общие сведения'!I33)</f>
      </c>
      <c r="J49" s="355"/>
      <c r="R49" s="414"/>
      <c r="S49" s="415"/>
    </row>
    <row r="50" spans="1:19" s="413" customFormat="1" ht="12.75">
      <c r="A50" s="935" t="s">
        <v>115</v>
      </c>
      <c r="B50" s="935"/>
      <c r="C50" s="935"/>
      <c r="D50" s="935"/>
      <c r="E50" s="943">
        <f>IF(fio&lt;&gt;"",'общие сведения'!D35,"")</f>
      </c>
      <c r="F50" s="943"/>
      <c r="G50" s="604">
        <f>IF(E49="нет",'общие сведения'!K35,"")</f>
      </c>
      <c r="H50" s="605">
        <f>IF(E49="нет",'общие сведения'!L35,"")</f>
      </c>
      <c r="I50" s="606">
        <f>IF(E49="нет",'общие сведения'!M35,"")</f>
      </c>
      <c r="J50" s="355"/>
      <c r="K50" s="487"/>
      <c r="L50" s="487"/>
      <c r="R50" s="414"/>
      <c r="S50" s="415"/>
    </row>
    <row r="51" spans="1:31" s="405" customFormat="1" ht="12.75">
      <c r="A51" s="935" t="s">
        <v>550</v>
      </c>
      <c r="B51" s="935"/>
      <c r="C51" s="936">
        <f>IF(fio="","",'общие сведения'!B37)</f>
      </c>
      <c r="D51" s="936"/>
      <c r="E51" s="936"/>
      <c r="F51" s="936"/>
      <c r="G51" s="936"/>
      <c r="H51" s="936"/>
      <c r="I51" s="936"/>
      <c r="J51" s="355"/>
      <c r="K51" s="487"/>
      <c r="L51" s="487"/>
      <c r="M51" s="413"/>
      <c r="N51" s="413"/>
      <c r="O51" s="413"/>
      <c r="P51" s="413"/>
      <c r="Q51" s="413"/>
      <c r="R51" s="414"/>
      <c r="S51" s="415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</row>
    <row r="52" spans="1:31" s="405" customFormat="1" ht="3.75" customHeight="1">
      <c r="A52" s="83"/>
      <c r="B52" s="74"/>
      <c r="C52" s="74"/>
      <c r="D52" s="75"/>
      <c r="E52" s="416"/>
      <c r="F52" s="416"/>
      <c r="G52" s="416"/>
      <c r="H52" s="416"/>
      <c r="I52" s="416"/>
      <c r="J52" s="355"/>
      <c r="K52" s="487"/>
      <c r="L52" s="487"/>
      <c r="M52" s="413"/>
      <c r="N52" s="413"/>
      <c r="O52" s="413"/>
      <c r="P52" s="413"/>
      <c r="Q52" s="413"/>
      <c r="R52" s="414"/>
      <c r="S52" s="415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413"/>
      <c r="AE52" s="413"/>
    </row>
    <row r="53" spans="1:57" s="405" customFormat="1" ht="12.75" customHeight="1">
      <c r="A53" s="1034">
        <f>IF(fio="","",'общие сведения'!L40&amp;IF('общие сведения'!L44="","","; "&amp;'общие сведения'!L44)&amp;IF('общие сведения'!L48="","","; "&amp;'общие сведения'!L48))</f>
      </c>
      <c r="B53" s="1034"/>
      <c r="C53" s="1034"/>
      <c r="D53" s="1034"/>
      <c r="E53" s="1034"/>
      <c r="F53" s="1034"/>
      <c r="G53" s="1034"/>
      <c r="H53" s="1034"/>
      <c r="I53" s="1034"/>
      <c r="J53" s="355"/>
      <c r="K53" s="487"/>
      <c r="L53" s="487"/>
      <c r="M53" s="413"/>
      <c r="N53" s="413"/>
      <c r="O53" s="413"/>
      <c r="P53" s="413"/>
      <c r="Q53" s="413"/>
      <c r="R53" s="414"/>
      <c r="S53" s="415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T53" s="488"/>
      <c r="AU53" s="488"/>
      <c r="AV53" s="488"/>
      <c r="AW53" s="488"/>
      <c r="AX53" s="488"/>
      <c r="AY53" s="488"/>
      <c r="AZ53" s="488"/>
      <c r="BA53" s="488"/>
      <c r="BB53" s="488"/>
      <c r="BC53" s="488"/>
      <c r="BD53" s="488"/>
      <c r="BE53" s="488"/>
    </row>
    <row r="54" spans="1:57" s="405" customFormat="1" ht="12.75">
      <c r="A54" s="1034"/>
      <c r="B54" s="1034"/>
      <c r="C54" s="1034"/>
      <c r="D54" s="1034"/>
      <c r="E54" s="1034"/>
      <c r="F54" s="1034"/>
      <c r="G54" s="1034"/>
      <c r="H54" s="1034"/>
      <c r="I54" s="1034"/>
      <c r="J54" s="355"/>
      <c r="K54" s="487"/>
      <c r="L54" s="487"/>
      <c r="M54" s="413"/>
      <c r="N54" s="413"/>
      <c r="O54" s="413"/>
      <c r="P54" s="413"/>
      <c r="Q54" s="413"/>
      <c r="R54" s="414"/>
      <c r="S54" s="415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/>
      <c r="BE54" s="488"/>
    </row>
    <row r="55" spans="1:57" s="405" customFormat="1" ht="12.75">
      <c r="A55" s="1034"/>
      <c r="B55" s="1034"/>
      <c r="C55" s="1034"/>
      <c r="D55" s="1034"/>
      <c r="E55" s="1034"/>
      <c r="F55" s="1034"/>
      <c r="G55" s="1034"/>
      <c r="H55" s="1034"/>
      <c r="I55" s="1034"/>
      <c r="J55" s="355"/>
      <c r="K55" s="487"/>
      <c r="L55" s="487"/>
      <c r="M55" s="413"/>
      <c r="N55" s="413"/>
      <c r="O55" s="413"/>
      <c r="P55" s="413"/>
      <c r="Q55" s="413"/>
      <c r="R55" s="414"/>
      <c r="S55" s="415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  <c r="AT55" s="488"/>
      <c r="AU55" s="488"/>
      <c r="AV55" s="488"/>
      <c r="AW55" s="488"/>
      <c r="AX55" s="488"/>
      <c r="AY55" s="488"/>
      <c r="AZ55" s="488"/>
      <c r="BA55" s="488"/>
      <c r="BB55" s="488"/>
      <c r="BC55" s="488"/>
      <c r="BD55" s="488"/>
      <c r="BE55" s="488"/>
    </row>
    <row r="56" spans="1:57" s="405" customFormat="1" ht="12.75">
      <c r="A56" s="1034"/>
      <c r="B56" s="1034"/>
      <c r="C56" s="1034"/>
      <c r="D56" s="1034"/>
      <c r="E56" s="1034"/>
      <c r="F56" s="1034"/>
      <c r="G56" s="1034"/>
      <c r="H56" s="1034"/>
      <c r="I56" s="1034"/>
      <c r="J56" s="355"/>
      <c r="K56" s="487"/>
      <c r="L56" s="487"/>
      <c r="M56" s="413"/>
      <c r="N56" s="413"/>
      <c r="O56" s="413"/>
      <c r="P56" s="413"/>
      <c r="Q56" s="413"/>
      <c r="R56" s="414"/>
      <c r="S56" s="415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</row>
    <row r="57" spans="1:57" s="405" customFormat="1" ht="7.5" customHeight="1">
      <c r="A57" s="489"/>
      <c r="B57" s="489"/>
      <c r="C57" s="489"/>
      <c r="D57" s="489"/>
      <c r="E57" s="489"/>
      <c r="F57" s="489"/>
      <c r="G57" s="489"/>
      <c r="H57" s="489"/>
      <c r="I57" s="489"/>
      <c r="J57" s="355"/>
      <c r="K57" s="487"/>
      <c r="L57" s="487"/>
      <c r="M57" s="413"/>
      <c r="N57" s="413"/>
      <c r="O57" s="413"/>
      <c r="P57" s="413"/>
      <c r="Q57" s="413"/>
      <c r="R57" s="414"/>
      <c r="S57" s="415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  <c r="AT57" s="488"/>
      <c r="AU57" s="488"/>
      <c r="AV57" s="488"/>
      <c r="AW57" s="488"/>
      <c r="AX57" s="488"/>
      <c r="AY57" s="488"/>
      <c r="AZ57" s="488"/>
      <c r="BA57" s="488"/>
      <c r="BB57" s="488"/>
      <c r="BC57" s="488"/>
      <c r="BD57" s="488"/>
      <c r="BE57" s="488"/>
    </row>
    <row r="58" spans="1:57" s="405" customFormat="1" ht="12.75">
      <c r="A58" s="482" t="s">
        <v>568</v>
      </c>
      <c r="B58" s="86"/>
      <c r="C58" s="488"/>
      <c r="D58" s="488"/>
      <c r="E58" s="488"/>
      <c r="F58" s="491"/>
      <c r="G58" s="488"/>
      <c r="H58" s="488"/>
      <c r="I58" s="488"/>
      <c r="J58" s="355"/>
      <c r="K58" s="487"/>
      <c r="L58" s="487"/>
      <c r="M58" s="413"/>
      <c r="N58" s="413"/>
      <c r="O58" s="413"/>
      <c r="P58" s="413"/>
      <c r="Q58" s="413"/>
      <c r="R58" s="414"/>
      <c r="S58" s="415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13"/>
      <c r="AT58" s="488"/>
      <c r="AU58" s="488"/>
      <c r="AV58" s="488"/>
      <c r="AW58" s="488"/>
      <c r="AX58" s="488"/>
      <c r="AY58" s="488"/>
      <c r="AZ58" s="488"/>
      <c r="BA58" s="488"/>
      <c r="BB58" s="488"/>
      <c r="BC58" s="488"/>
      <c r="BD58" s="488"/>
      <c r="BE58" s="488"/>
    </row>
    <row r="59" spans="1:31" s="405" customFormat="1" ht="12.75">
      <c r="A59" s="1037" t="str">
        <f>'общие сведения'!A63</f>
        <v>Курсы повышения квалификации</v>
      </c>
      <c r="B59" s="1037"/>
      <c r="C59" s="1037"/>
      <c r="D59" s="1037"/>
      <c r="E59" s="1037"/>
      <c r="F59" s="490">
        <f>IF(fio="","",'общие сведения'!G63)</f>
      </c>
      <c r="G59" s="86" t="s">
        <v>569</v>
      </c>
      <c r="H59" s="416"/>
      <c r="I59" s="416"/>
      <c r="J59" s="355"/>
      <c r="K59" s="487"/>
      <c r="L59" s="487"/>
      <c r="M59" s="413"/>
      <c r="N59" s="413"/>
      <c r="O59" s="413"/>
      <c r="P59" s="413"/>
      <c r="Q59" s="413"/>
      <c r="R59" s="414"/>
      <c r="S59" s="415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3"/>
    </row>
    <row r="60" spans="1:31" s="405" customFormat="1" ht="12.75">
      <c r="A60" s="1038" t="str">
        <f>"Дополнительное профессиональное образование"&amp;'общие сведения'!M56</f>
        <v>Дополнительное профессиональное образование</v>
      </c>
      <c r="B60" s="1038"/>
      <c r="C60" s="1038"/>
      <c r="D60" s="1038"/>
      <c r="E60" s="1038"/>
      <c r="F60" s="1038"/>
      <c r="G60" s="1038"/>
      <c r="H60" s="1038"/>
      <c r="I60" s="1038"/>
      <c r="J60" s="355"/>
      <c r="K60" s="487"/>
      <c r="L60" s="487"/>
      <c r="M60" s="413"/>
      <c r="N60" s="413"/>
      <c r="O60" s="413"/>
      <c r="P60" s="413"/>
      <c r="Q60" s="413"/>
      <c r="R60" s="414"/>
      <c r="S60" s="415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</row>
    <row r="61" spans="1:19" s="405" customFormat="1" ht="12.75">
      <c r="A61" s="1034">
        <f>IF(fio="","",'общие сведения'!L58)</f>
      </c>
      <c r="B61" s="1034"/>
      <c r="C61" s="1034"/>
      <c r="D61" s="1034"/>
      <c r="E61" s="1034"/>
      <c r="F61" s="1034"/>
      <c r="G61" s="1034"/>
      <c r="H61" s="1034"/>
      <c r="I61" s="1034"/>
      <c r="J61" s="355"/>
      <c r="R61" s="406"/>
      <c r="S61" s="407"/>
    </row>
    <row r="62" spans="1:19" s="405" customFormat="1" ht="12.75">
      <c r="A62" s="1034"/>
      <c r="B62" s="1034"/>
      <c r="C62" s="1034"/>
      <c r="D62" s="1034"/>
      <c r="E62" s="1034"/>
      <c r="F62" s="1034"/>
      <c r="G62" s="1034"/>
      <c r="H62" s="1034"/>
      <c r="I62" s="1034"/>
      <c r="J62" s="355"/>
      <c r="R62" s="406"/>
      <c r="S62" s="407"/>
    </row>
    <row r="63" spans="1:19" s="405" customFormat="1" ht="12.75">
      <c r="A63" s="1034"/>
      <c r="B63" s="1034"/>
      <c r="C63" s="1034"/>
      <c r="D63" s="1034"/>
      <c r="E63" s="1034"/>
      <c r="F63" s="1034"/>
      <c r="G63" s="1034"/>
      <c r="H63" s="1034"/>
      <c r="I63" s="1034"/>
      <c r="J63" s="355"/>
      <c r="R63" s="406"/>
      <c r="S63" s="407"/>
    </row>
    <row r="64" spans="1:19" s="405" customFormat="1" ht="9" customHeight="1">
      <c r="A64" s="484"/>
      <c r="B64" s="74"/>
      <c r="C64" s="74"/>
      <c r="D64" s="75"/>
      <c r="E64" s="416"/>
      <c r="F64" s="416"/>
      <c r="G64" s="416"/>
      <c r="H64" s="416"/>
      <c r="I64" s="416"/>
      <c r="J64" s="355"/>
      <c r="R64" s="406"/>
      <c r="S64" s="407"/>
    </row>
    <row r="65" spans="1:19" s="405" customFormat="1" ht="12.75">
      <c r="A65" s="1036" t="s">
        <v>570</v>
      </c>
      <c r="B65" s="1036"/>
      <c r="C65" s="1036"/>
      <c r="D65" s="1036"/>
      <c r="E65" s="1036"/>
      <c r="F65" s="1036"/>
      <c r="G65" s="1036"/>
      <c r="H65" s="1036"/>
      <c r="I65" s="1036"/>
      <c r="J65" s="355"/>
      <c r="R65" s="406"/>
      <c r="S65" s="407"/>
    </row>
    <row r="66" spans="1:19" s="405" customFormat="1" ht="12.75" customHeight="1">
      <c r="A66" s="1035" t="s">
        <v>571</v>
      </c>
      <c r="B66" s="1035"/>
      <c r="C66" s="1035"/>
      <c r="D66" s="1035"/>
      <c r="E66" s="1035"/>
      <c r="F66" s="1035"/>
      <c r="G66" s="1035"/>
      <c r="H66" s="1035"/>
      <c r="I66" s="1035"/>
      <c r="J66" s="355"/>
      <c r="R66" s="406"/>
      <c r="S66" s="407"/>
    </row>
    <row r="67" spans="1:19" s="405" customFormat="1" ht="12.75">
      <c r="A67" s="1035"/>
      <c r="B67" s="1035"/>
      <c r="C67" s="1035"/>
      <c r="D67" s="1035"/>
      <c r="E67" s="1035"/>
      <c r="F67" s="1035"/>
      <c r="G67" s="1035"/>
      <c r="H67" s="1035"/>
      <c r="I67" s="1035"/>
      <c r="J67" s="355"/>
      <c r="R67" s="406"/>
      <c r="S67" s="407"/>
    </row>
    <row r="68" spans="1:19" s="405" customFormat="1" ht="12.75">
      <c r="A68" s="1035"/>
      <c r="B68" s="1035"/>
      <c r="C68" s="1035"/>
      <c r="D68" s="1035"/>
      <c r="E68" s="1035"/>
      <c r="F68" s="1035"/>
      <c r="G68" s="1035"/>
      <c r="H68" s="1035"/>
      <c r="I68" s="1035"/>
      <c r="J68" s="355"/>
      <c r="R68" s="406"/>
      <c r="S68" s="407"/>
    </row>
    <row r="69" spans="1:19" s="405" customFormat="1" ht="20.25" customHeight="1">
      <c r="A69" s="1035" t="s">
        <v>572</v>
      </c>
      <c r="B69" s="1035"/>
      <c r="C69" s="1035"/>
      <c r="D69" s="1035"/>
      <c r="E69" s="1035"/>
      <c r="F69" s="1035"/>
      <c r="G69" s="1035"/>
      <c r="H69" s="1035"/>
      <c r="I69" s="1035"/>
      <c r="J69" s="355"/>
      <c r="R69" s="406"/>
      <c r="S69" s="407"/>
    </row>
    <row r="70" spans="1:19" s="405" customFormat="1" ht="12.75">
      <c r="A70" s="86" t="str">
        <f>A103&amp;B103</f>
        <v>1. Продуктивность образовательной деятельности</v>
      </c>
      <c r="C70" s="86"/>
      <c r="D70" s="75"/>
      <c r="E70" s="416"/>
      <c r="F70" s="416"/>
      <c r="G70" s="416"/>
      <c r="H70" s="416"/>
      <c r="I70" s="602">
        <f>IF(fio="","",итого_1)</f>
      </c>
      <c r="J70" s="355"/>
      <c r="R70" s="406"/>
      <c r="S70" s="407"/>
    </row>
    <row r="71" spans="1:19" s="405" customFormat="1" ht="12.75">
      <c r="A71" s="86" t="str">
        <f>A133&amp;B133</f>
        <v>2. Продуктивность деятельности педагогического работника по развитию обучающихся/ воспитанников</v>
      </c>
      <c r="C71" s="86"/>
      <c r="D71" s="75"/>
      <c r="E71" s="416"/>
      <c r="F71" s="416"/>
      <c r="G71" s="416"/>
      <c r="H71" s="416"/>
      <c r="I71" s="602">
        <f>IF(fio="","",итого_2)</f>
      </c>
      <c r="J71" s="355"/>
      <c r="R71" s="406"/>
      <c r="S71" s="407"/>
    </row>
    <row r="72" spans="1:19" s="405" customFormat="1" ht="12.75">
      <c r="A72" s="86" t="str">
        <f>A224&amp;B224</f>
        <v>3. Продуктивность личного вклада педагогического работника в повышение качества образования</v>
      </c>
      <c r="C72" s="86"/>
      <c r="D72" s="75"/>
      <c r="E72" s="416"/>
      <c r="F72" s="416"/>
      <c r="G72" s="416"/>
      <c r="H72" s="416"/>
      <c r="I72" s="602">
        <f>IF(fio="","",итого_3)</f>
      </c>
      <c r="J72" s="355"/>
      <c r="R72" s="406"/>
      <c r="S72" s="407"/>
    </row>
    <row r="73" spans="1:19" s="405" customFormat="1" ht="16.5" customHeight="1">
      <c r="A73" s="1042" t="s">
        <v>577</v>
      </c>
      <c r="B73" s="1042"/>
      <c r="C73" s="1042"/>
      <c r="D73" s="1042"/>
      <c r="E73" s="1042"/>
      <c r="F73" s="1042"/>
      <c r="G73" s="1042"/>
      <c r="H73" s="1041">
        <f>IF(fio="","",SUM(I70:I72))</f>
      </c>
      <c r="I73" s="1041"/>
      <c r="J73" s="355"/>
      <c r="R73" s="406"/>
      <c r="S73" s="407"/>
    </row>
    <row r="74" spans="1:19" s="405" customFormat="1" ht="7.5" customHeight="1">
      <c r="A74" s="492"/>
      <c r="B74" s="492"/>
      <c r="C74" s="492"/>
      <c r="D74" s="492"/>
      <c r="E74" s="492"/>
      <c r="F74" s="492"/>
      <c r="G74" s="492"/>
      <c r="H74" s="492"/>
      <c r="I74" s="504"/>
      <c r="J74" s="355"/>
      <c r="R74" s="406"/>
      <c r="S74" s="407"/>
    </row>
    <row r="75" spans="1:19" s="405" customFormat="1" ht="7.5" customHeight="1" hidden="1">
      <c r="A75" s="492"/>
      <c r="B75" s="492"/>
      <c r="C75" s="492"/>
      <c r="D75" s="492"/>
      <c r="E75" s="492"/>
      <c r="F75" s="492"/>
      <c r="G75" s="492"/>
      <c r="H75" s="492"/>
      <c r="I75" s="504"/>
      <c r="J75" s="355"/>
      <c r="R75" s="406"/>
      <c r="S75" s="407"/>
    </row>
    <row r="76" spans="1:19" s="497" customFormat="1" ht="15.75" customHeight="1">
      <c r="A76" s="1039" t="s">
        <v>502</v>
      </c>
      <c r="B76" s="1039"/>
      <c r="C76" s="1039"/>
      <c r="D76" s="501" t="str">
        <f>D460&amp;"  "&amp;H460</f>
        <v>  </v>
      </c>
      <c r="E76" s="502"/>
      <c r="F76" s="503"/>
      <c r="G76" s="502"/>
      <c r="H76" s="501"/>
      <c r="I76" s="494" t="s">
        <v>579</v>
      </c>
      <c r="J76" s="495"/>
      <c r="K76" s="496"/>
      <c r="L76" s="496"/>
      <c r="M76" s="496"/>
      <c r="N76" s="16"/>
      <c r="O76" s="255"/>
      <c r="R76" s="498"/>
      <c r="S76" s="391"/>
    </row>
    <row r="77" spans="1:19" s="497" customFormat="1" ht="12.75">
      <c r="A77" s="1039" t="s">
        <v>578</v>
      </c>
      <c r="B77" s="1039"/>
      <c r="C77" s="1039"/>
      <c r="D77" s="506">
        <f>F461</f>
      </c>
      <c r="E77" s="85" t="s">
        <v>504</v>
      </c>
      <c r="F77" s="500"/>
      <c r="H77" s="493"/>
      <c r="I77" s="84"/>
      <c r="J77" s="495"/>
      <c r="K77" s="496"/>
      <c r="L77" s="496"/>
      <c r="M77" s="496"/>
      <c r="N77" s="16"/>
      <c r="O77" s="255"/>
      <c r="R77" s="498"/>
      <c r="S77" s="391"/>
    </row>
    <row r="78" spans="1:19" s="405" customFormat="1" ht="4.5" customHeight="1">
      <c r="A78" s="83"/>
      <c r="B78" s="74"/>
      <c r="C78" s="74"/>
      <c r="D78" s="75"/>
      <c r="E78" s="416"/>
      <c r="F78" s="416"/>
      <c r="G78" s="416"/>
      <c r="H78" s="416"/>
      <c r="I78" s="416"/>
      <c r="J78" s="355"/>
      <c r="R78" s="406"/>
      <c r="S78" s="407"/>
    </row>
    <row r="79" spans="1:19" s="405" customFormat="1" ht="12.75">
      <c r="A79" s="482" t="s">
        <v>241</v>
      </c>
      <c r="B79" s="74"/>
      <c r="C79" s="74"/>
      <c r="D79" s="75"/>
      <c r="E79" s="416"/>
      <c r="F79" s="416"/>
      <c r="G79" s="416"/>
      <c r="H79" s="416"/>
      <c r="I79" s="416"/>
      <c r="J79" s="355"/>
      <c r="R79" s="406"/>
      <c r="S79" s="407"/>
    </row>
    <row r="80" spans="1:50" s="405" customFormat="1" ht="12.75" customHeight="1">
      <c r="A80" s="83"/>
      <c r="B80" s="74"/>
      <c r="C80" s="1040">
        <f>IF(fio&lt;&gt;"",рек_итог,"")</f>
      </c>
      <c r="D80" s="1040"/>
      <c r="E80" s="1040"/>
      <c r="F80" s="1040"/>
      <c r="G80" s="1040"/>
      <c r="H80" s="1040"/>
      <c r="I80" s="1040"/>
      <c r="J80" s="355"/>
      <c r="K80" s="507"/>
      <c r="L80" s="507"/>
      <c r="M80" s="507"/>
      <c r="N80" s="507"/>
      <c r="O80" s="507"/>
      <c r="P80" s="507"/>
      <c r="Q80" s="507"/>
      <c r="R80" s="507"/>
      <c r="S80" s="407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  <c r="AG80" s="507"/>
      <c r="AH80" s="507"/>
      <c r="AI80" s="507"/>
      <c r="AJ80" s="507"/>
      <c r="AK80" s="507"/>
      <c r="AL80" s="507"/>
      <c r="AM80" s="507"/>
      <c r="AN80" s="507"/>
      <c r="AO80" s="507"/>
      <c r="AP80" s="507"/>
      <c r="AQ80" s="507"/>
      <c r="AR80" s="507"/>
      <c r="AS80" s="507"/>
      <c r="AT80" s="507"/>
      <c r="AU80" s="507"/>
      <c r="AV80" s="507"/>
      <c r="AW80" s="507"/>
      <c r="AX80" s="507"/>
    </row>
    <row r="81" spans="1:50" s="405" customFormat="1" ht="12.75">
      <c r="A81" s="83"/>
      <c r="B81" s="74"/>
      <c r="C81" s="1040"/>
      <c r="D81" s="1040"/>
      <c r="E81" s="1040"/>
      <c r="F81" s="1040"/>
      <c r="G81" s="1040"/>
      <c r="H81" s="1040"/>
      <c r="I81" s="1040"/>
      <c r="J81" s="355"/>
      <c r="K81" s="507"/>
      <c r="L81" s="507"/>
      <c r="M81" s="507"/>
      <c r="N81" s="507"/>
      <c r="O81" s="507"/>
      <c r="P81" s="507"/>
      <c r="Q81" s="507"/>
      <c r="R81" s="507"/>
      <c r="S81" s="407"/>
      <c r="T81" s="507"/>
      <c r="U81" s="507"/>
      <c r="V81" s="507"/>
      <c r="W81" s="507"/>
      <c r="X81" s="507"/>
      <c r="Y81" s="507"/>
      <c r="Z81" s="507"/>
      <c r="AA81" s="507"/>
      <c r="AB81" s="507"/>
      <c r="AC81" s="507"/>
      <c r="AD81" s="507"/>
      <c r="AE81" s="507"/>
      <c r="AF81" s="507"/>
      <c r="AG81" s="507"/>
      <c r="AH81" s="507"/>
      <c r="AI81" s="507"/>
      <c r="AJ81" s="507"/>
      <c r="AK81" s="507"/>
      <c r="AL81" s="507"/>
      <c r="AM81" s="507"/>
      <c r="AN81" s="507"/>
      <c r="AO81" s="507"/>
      <c r="AP81" s="507"/>
      <c r="AQ81" s="507"/>
      <c r="AR81" s="507"/>
      <c r="AS81" s="507"/>
      <c r="AT81" s="507"/>
      <c r="AU81" s="507"/>
      <c r="AV81" s="507"/>
      <c r="AW81" s="507"/>
      <c r="AX81" s="507"/>
    </row>
    <row r="82" spans="1:50" s="405" customFormat="1" ht="3" customHeight="1">
      <c r="A82" s="83"/>
      <c r="B82" s="74"/>
      <c r="C82" s="1040"/>
      <c r="D82" s="1040"/>
      <c r="E82" s="1040"/>
      <c r="F82" s="1040"/>
      <c r="G82" s="1040"/>
      <c r="H82" s="1040"/>
      <c r="I82" s="1040"/>
      <c r="J82" s="355"/>
      <c r="K82" s="507"/>
      <c r="L82" s="507"/>
      <c r="M82" s="507"/>
      <c r="N82" s="507"/>
      <c r="O82" s="507"/>
      <c r="P82" s="507"/>
      <c r="Q82" s="507"/>
      <c r="R82" s="507"/>
      <c r="S82" s="407"/>
      <c r="T82" s="507"/>
      <c r="U82" s="507"/>
      <c r="V82" s="507"/>
      <c r="W82" s="507"/>
      <c r="X82" s="507"/>
      <c r="Y82" s="507"/>
      <c r="Z82" s="507"/>
      <c r="AA82" s="507"/>
      <c r="AB82" s="507"/>
      <c r="AC82" s="507"/>
      <c r="AD82" s="507"/>
      <c r="AE82" s="507"/>
      <c r="AF82" s="507"/>
      <c r="AG82" s="507"/>
      <c r="AH82" s="507"/>
      <c r="AI82" s="507"/>
      <c r="AJ82" s="507"/>
      <c r="AK82" s="507"/>
      <c r="AL82" s="507"/>
      <c r="AM82" s="507"/>
      <c r="AN82" s="507"/>
      <c r="AO82" s="507"/>
      <c r="AP82" s="507"/>
      <c r="AQ82" s="507"/>
      <c r="AR82" s="507"/>
      <c r="AS82" s="507"/>
      <c r="AT82" s="507"/>
      <c r="AU82" s="507"/>
      <c r="AV82" s="507"/>
      <c r="AW82" s="507"/>
      <c r="AX82" s="507"/>
    </row>
    <row r="83" spans="1:19" s="405" customFormat="1" ht="3" customHeight="1">
      <c r="A83" s="83"/>
      <c r="B83" s="74"/>
      <c r="C83" s="74"/>
      <c r="D83" s="75"/>
      <c r="E83" s="416"/>
      <c r="F83" s="416"/>
      <c r="G83" s="416"/>
      <c r="H83" s="416"/>
      <c r="I83" s="416"/>
      <c r="J83" s="355"/>
      <c r="R83" s="406"/>
      <c r="S83" s="407"/>
    </row>
    <row r="84" spans="1:19" s="493" customFormat="1" ht="15" customHeight="1">
      <c r="A84" s="931" t="s">
        <v>263</v>
      </c>
      <c r="B84" s="931"/>
      <c r="C84" s="931"/>
      <c r="D84" s="75"/>
      <c r="E84" s="75"/>
      <c r="F84" s="75"/>
      <c r="G84" s="75"/>
      <c r="H84" s="75"/>
      <c r="I84" s="75"/>
      <c r="J84" s="355"/>
      <c r="K84" s="514"/>
      <c r="L84" s="514"/>
      <c r="M84" s="514"/>
      <c r="N84" s="514"/>
      <c r="O84" s="85"/>
      <c r="P84" s="85"/>
      <c r="Q84" s="85"/>
      <c r="R84" s="515"/>
      <c r="S84" s="407"/>
    </row>
    <row r="85" spans="1:19" s="497" customFormat="1" ht="12.75">
      <c r="A85" s="931"/>
      <c r="B85" s="931"/>
      <c r="C85" s="931"/>
      <c r="D85" s="86"/>
      <c r="E85" s="86"/>
      <c r="F85" s="499">
        <f>IF(fio&lt;&gt;"",IF('общие сведения'!K89&lt;&gt;"",'общие сведения'!K89,""),"")</f>
      </c>
      <c r="G85" s="494"/>
      <c r="H85" s="494"/>
      <c r="I85" s="494"/>
      <c r="J85" s="355"/>
      <c r="K85" s="514"/>
      <c r="L85" s="514"/>
      <c r="M85" s="514"/>
      <c r="N85" s="86"/>
      <c r="O85" s="336"/>
      <c r="P85" s="517"/>
      <c r="Q85" s="336"/>
      <c r="R85" s="299"/>
      <c r="S85" s="407"/>
    </row>
    <row r="86" spans="1:19" s="497" customFormat="1" ht="9.75" customHeight="1">
      <c r="A86" s="931" t="s">
        <v>580</v>
      </c>
      <c r="B86" s="931"/>
      <c r="C86" s="931"/>
      <c r="D86" s="86"/>
      <c r="E86" s="86"/>
      <c r="F86" s="1033" t="s">
        <v>147</v>
      </c>
      <c r="G86" s="1033"/>
      <c r="H86" s="1033"/>
      <c r="I86" s="1033"/>
      <c r="J86" s="355"/>
      <c r="K86" s="519"/>
      <c r="L86" s="519"/>
      <c r="M86" s="519"/>
      <c r="N86" s="62"/>
      <c r="O86" s="86"/>
      <c r="P86" s="86"/>
      <c r="Q86" s="86"/>
      <c r="R86" s="520"/>
      <c r="S86" s="407"/>
    </row>
    <row r="87" spans="1:19" s="497" customFormat="1" ht="15.75" customHeight="1">
      <c r="A87" s="931"/>
      <c r="B87" s="931"/>
      <c r="C87" s="931"/>
      <c r="D87" s="86"/>
      <c r="E87" s="86"/>
      <c r="F87" s="499">
        <f>IF(fio&lt;&gt;"",IF('общие сведения'!K91&lt;&gt;"",'общие сведения'!K91,""),"")</f>
      </c>
      <c r="G87" s="483"/>
      <c r="H87" s="483"/>
      <c r="I87" s="483"/>
      <c r="J87" s="355"/>
      <c r="K87" s="85"/>
      <c r="L87" s="85"/>
      <c r="M87" s="85"/>
      <c r="N87" s="86"/>
      <c r="O87" s="62"/>
      <c r="P87" s="62"/>
      <c r="Q87" s="62"/>
      <c r="R87" s="300"/>
      <c r="S87" s="407"/>
    </row>
    <row r="88" spans="1:19" s="497" customFormat="1" ht="9.75" customHeight="1">
      <c r="A88" s="498"/>
      <c r="B88" s="521"/>
      <c r="C88" s="75"/>
      <c r="D88" s="86"/>
      <c r="E88" s="86"/>
      <c r="F88" s="1033" t="s">
        <v>147</v>
      </c>
      <c r="G88" s="1033"/>
      <c r="H88" s="1033"/>
      <c r="I88" s="1033"/>
      <c r="J88" s="355"/>
      <c r="K88" s="519"/>
      <c r="L88" s="85"/>
      <c r="M88" s="85"/>
      <c r="N88" s="62"/>
      <c r="O88" s="86"/>
      <c r="P88" s="86"/>
      <c r="Q88" s="86"/>
      <c r="R88" s="520"/>
      <c r="S88" s="407"/>
    </row>
    <row r="89" spans="1:19" s="497" customFormat="1" ht="15.75">
      <c r="A89" s="498"/>
      <c r="B89" s="83"/>
      <c r="C89" s="75"/>
      <c r="D89" s="86"/>
      <c r="E89" s="86"/>
      <c r="F89" s="499">
        <f>IF(fio&lt;&gt;"",IF('общие сведения'!K93&lt;&gt;"",'общие сведения'!K93,""),"")</f>
      </c>
      <c r="G89" s="505"/>
      <c r="H89" s="483"/>
      <c r="I89" s="483"/>
      <c r="J89" s="355"/>
      <c r="K89" s="522"/>
      <c r="L89" s="522"/>
      <c r="M89" s="522"/>
      <c r="N89" s="86"/>
      <c r="O89" s="62"/>
      <c r="P89" s="62"/>
      <c r="Q89" s="62"/>
      <c r="R89" s="300"/>
      <c r="S89" s="407"/>
    </row>
    <row r="90" spans="2:19" s="497" customFormat="1" ht="11.25" customHeight="1">
      <c r="B90" s="83"/>
      <c r="C90" s="75"/>
      <c r="D90" s="86"/>
      <c r="E90" s="86"/>
      <c r="F90" s="1033" t="s">
        <v>147</v>
      </c>
      <c r="G90" s="1033"/>
      <c r="H90" s="1033"/>
      <c r="I90" s="1033"/>
      <c r="J90" s="355"/>
      <c r="K90" s="522"/>
      <c r="L90" s="519"/>
      <c r="M90" s="86"/>
      <c r="N90" s="62"/>
      <c r="O90" s="86"/>
      <c r="P90" s="86"/>
      <c r="Q90" s="86"/>
      <c r="R90" s="520"/>
      <c r="S90" s="407"/>
    </row>
    <row r="91" spans="2:19" s="497" customFormat="1" ht="11.25" customHeight="1">
      <c r="B91" s="83"/>
      <c r="C91" s="75"/>
      <c r="D91" s="86"/>
      <c r="E91" s="86"/>
      <c r="F91" s="381"/>
      <c r="G91" s="381"/>
      <c r="H91" s="381"/>
      <c r="I91" s="381"/>
      <c r="J91" s="355"/>
      <c r="K91" s="522"/>
      <c r="L91" s="519"/>
      <c r="M91" s="86"/>
      <c r="N91" s="62"/>
      <c r="O91" s="86"/>
      <c r="P91" s="86"/>
      <c r="Q91" s="86"/>
      <c r="R91" s="520"/>
      <c r="S91" s="407"/>
    </row>
    <row r="92" spans="1:19" s="497" customFormat="1" ht="15" customHeight="1">
      <c r="A92" s="955" t="s">
        <v>53</v>
      </c>
      <c r="B92" s="955"/>
      <c r="C92" s="955"/>
      <c r="D92" s="955"/>
      <c r="E92" s="955"/>
      <c r="F92" s="955"/>
      <c r="G92" s="1032" t="str">
        <f>IF(_vsego&lt;&gt;""," «  "&amp;'общие сведения'!C98&amp;"  »  "&amp;'общие сведения'!E98&amp;"  20"&amp;'общие сведения'!H98&amp;" г.","« __ » ___________  20__ г.")</f>
        <v>« __ » ___________  20__ г.</v>
      </c>
      <c r="H92" s="1032"/>
      <c r="I92" s="336"/>
      <c r="J92" s="355"/>
      <c r="K92" s="519"/>
      <c r="L92" s="519"/>
      <c r="M92" s="62"/>
      <c r="N92" s="62"/>
      <c r="O92" s="86"/>
      <c r="P92" s="86"/>
      <c r="Q92" s="86"/>
      <c r="R92" s="520"/>
      <c r="S92" s="407"/>
    </row>
    <row r="93" spans="1:19" s="497" customFormat="1" ht="15" customHeight="1">
      <c r="A93" s="554"/>
      <c r="B93" s="554"/>
      <c r="C93" s="554"/>
      <c r="D93" s="554"/>
      <c r="E93" s="554"/>
      <c r="F93" s="554"/>
      <c r="G93" s="537"/>
      <c r="H93" s="537"/>
      <c r="I93" s="336"/>
      <c r="J93" s="355"/>
      <c r="K93" s="519"/>
      <c r="L93" s="519"/>
      <c r="M93" s="62"/>
      <c r="N93" s="62"/>
      <c r="O93" s="86"/>
      <c r="P93" s="86"/>
      <c r="Q93" s="86"/>
      <c r="R93" s="520"/>
      <c r="S93" s="407"/>
    </row>
    <row r="94" spans="1:19" s="497" customFormat="1" ht="5.25" customHeight="1">
      <c r="A94" s="498"/>
      <c r="B94" s="83"/>
      <c r="C94" s="87"/>
      <c r="D94" s="75"/>
      <c r="E94" s="75"/>
      <c r="F94" s="75"/>
      <c r="G94" s="75"/>
      <c r="H94" s="523"/>
      <c r="I94" s="75"/>
      <c r="J94" s="355"/>
      <c r="K94" s="522"/>
      <c r="L94" s="86">
        <f>IF(ЭЗ!E345&lt;&gt;"",ЭЗ!E345,"")</f>
      </c>
      <c r="M94" s="86"/>
      <c r="N94" s="524"/>
      <c r="O94" s="62"/>
      <c r="P94" s="62"/>
      <c r="Q94" s="62"/>
      <c r="R94" s="300"/>
      <c r="S94" s="407"/>
    </row>
    <row r="95" spans="2:19" s="497" customFormat="1" ht="15.75" customHeight="1">
      <c r="B95" s="854"/>
      <c r="C95" s="854"/>
      <c r="D95" s="854"/>
      <c r="E95" s="854"/>
      <c r="F95" s="854"/>
      <c r="G95" s="854"/>
      <c r="H95" s="854"/>
      <c r="I95" s="854"/>
      <c r="J95" s="355"/>
      <c r="K95" s="526"/>
      <c r="L95" s="526"/>
      <c r="M95" s="62"/>
      <c r="N95" s="524"/>
      <c r="O95" s="527"/>
      <c r="P95" s="528"/>
      <c r="Q95" s="60"/>
      <c r="R95" s="299"/>
      <c r="S95" s="407"/>
    </row>
    <row r="96" spans="1:19" s="493" customFormat="1" ht="14.25">
      <c r="A96" s="498"/>
      <c r="B96" s="937" t="s">
        <v>230</v>
      </c>
      <c r="C96" s="937"/>
      <c r="D96" s="937"/>
      <c r="E96" s="937"/>
      <c r="F96" s="937"/>
      <c r="G96" s="937"/>
      <c r="H96" s="937"/>
      <c r="I96" s="937"/>
      <c r="J96" s="355"/>
      <c r="K96" s="531"/>
      <c r="L96" s="86" t="str">
        <f>IF(ЭЗ!E346&lt;&gt;"",ЭЗ!E346,"")</f>
        <v>Не 
участвует</v>
      </c>
      <c r="M96" s="86"/>
      <c r="N96" s="524"/>
      <c r="O96" s="532"/>
      <c r="P96" s="509"/>
      <c r="Q96" s="533"/>
      <c r="R96" s="293"/>
      <c r="S96" s="407"/>
    </row>
    <row r="97" spans="1:19" s="493" customFormat="1" ht="1.5" customHeight="1">
      <c r="A97" s="534" t="s">
        <v>157</v>
      </c>
      <c r="B97" s="529"/>
      <c r="C97" s="529"/>
      <c r="D97" s="529"/>
      <c r="E97" s="529"/>
      <c r="F97" s="529"/>
      <c r="G97" s="529"/>
      <c r="H97" s="529"/>
      <c r="I97" s="529"/>
      <c r="J97" s="355"/>
      <c r="K97" s="531"/>
      <c r="L97" s="86"/>
      <c r="M97" s="86"/>
      <c r="N97" s="522"/>
      <c r="O97" s="532"/>
      <c r="P97" s="509"/>
      <c r="Q97" s="533"/>
      <c r="R97" s="293"/>
      <c r="S97" s="407"/>
    </row>
    <row r="98" spans="1:19" s="497" customFormat="1" ht="15.75">
      <c r="A98" s="535" t="s">
        <v>262</v>
      </c>
      <c r="B98" s="493"/>
      <c r="C98" s="88"/>
      <c r="E98" s="536"/>
      <c r="F98" s="499">
        <f>IF('общие сведения'!K19&lt;&gt;"",'общие сведения'!K19,"")</f>
      </c>
      <c r="G98" s="493"/>
      <c r="H98" s="493"/>
      <c r="I98" s="493"/>
      <c r="J98" s="355"/>
      <c r="K98" s="526"/>
      <c r="L98" s="526"/>
      <c r="M98" s="62"/>
      <c r="N98" s="537"/>
      <c r="O98" s="336"/>
      <c r="P98" s="517"/>
      <c r="Q98" s="336"/>
      <c r="R98" s="299"/>
      <c r="S98" s="407"/>
    </row>
    <row r="99" spans="1:19" s="493" customFormat="1" ht="15.75">
      <c r="A99" s="497"/>
      <c r="B99" s="336"/>
      <c r="C99" s="75"/>
      <c r="D99" s="874" t="s">
        <v>146</v>
      </c>
      <c r="E99" s="874"/>
      <c r="F99" s="874" t="s">
        <v>147</v>
      </c>
      <c r="G99" s="874"/>
      <c r="H99" s="874"/>
      <c r="I99" s="874"/>
      <c r="J99" s="355"/>
      <c r="K99" s="519"/>
      <c r="L99" s="519"/>
      <c r="M99" s="524"/>
      <c r="N99" s="539"/>
      <c r="O99" s="539"/>
      <c r="P99" s="539"/>
      <c r="Q99" s="539"/>
      <c r="R99" s="539"/>
      <c r="S99" s="407"/>
    </row>
    <row r="100" spans="1:19" s="405" customFormat="1" ht="1.5" customHeight="1">
      <c r="A100" s="83"/>
      <c r="B100" s="74"/>
      <c r="C100" s="74"/>
      <c r="D100" s="75"/>
      <c r="E100" s="416"/>
      <c r="F100" s="416"/>
      <c r="G100" s="416"/>
      <c r="H100" s="416"/>
      <c r="I100" s="416"/>
      <c r="J100" s="355"/>
      <c r="R100" s="406"/>
      <c r="S100" s="407"/>
    </row>
    <row r="101" spans="1:57" s="405" customFormat="1" ht="15">
      <c r="A101" s="954" t="s">
        <v>523</v>
      </c>
      <c r="B101" s="954"/>
      <c r="C101" s="954"/>
      <c r="D101" s="954"/>
      <c r="E101" s="954"/>
      <c r="F101" s="954"/>
      <c r="G101" s="954"/>
      <c r="H101" s="954"/>
      <c r="I101" s="954"/>
      <c r="J101" s="355"/>
      <c r="K101" s="6"/>
      <c r="L101" s="6"/>
      <c r="M101" s="6"/>
      <c r="N101" s="6"/>
      <c r="O101" s="6"/>
      <c r="P101" s="6"/>
      <c r="Q101" s="6"/>
      <c r="R101" s="6"/>
      <c r="S101" s="407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</row>
    <row r="102" spans="1:19" s="405" customFormat="1" ht="28.5" customHeight="1">
      <c r="A102" s="953" t="str">
        <f>SUBSTITUTE(SUBSTITUTE(S34,"( ",""),")","")</f>
        <v>педагога дополнительного образования социально-педагогической направленности</v>
      </c>
      <c r="B102" s="954"/>
      <c r="C102" s="954"/>
      <c r="D102" s="954"/>
      <c r="E102" s="954"/>
      <c r="F102" s="954"/>
      <c r="G102" s="954"/>
      <c r="H102" s="954"/>
      <c r="I102" s="954"/>
      <c r="J102" s="355"/>
      <c r="R102" s="406"/>
      <c r="S102" s="407"/>
    </row>
    <row r="103" spans="1:19" ht="20.25" customHeight="1">
      <c r="A103" s="4" t="s">
        <v>574</v>
      </c>
      <c r="B103" s="910" t="s">
        <v>383</v>
      </c>
      <c r="C103" s="910"/>
      <c r="D103" s="910"/>
      <c r="E103" s="910"/>
      <c r="F103" s="910"/>
      <c r="G103" s="910"/>
      <c r="H103" s="910"/>
      <c r="I103" s="910"/>
      <c r="J103" s="355"/>
      <c r="K103" s="32"/>
      <c r="L103" s="431" t="s">
        <v>158</v>
      </c>
      <c r="M103" s="432"/>
      <c r="N103" s="91"/>
      <c r="R103" s="290"/>
      <c r="S103" s="407"/>
    </row>
    <row r="104" spans="1:19" ht="15">
      <c r="A104" s="326" t="s">
        <v>384</v>
      </c>
      <c r="C104" s="311"/>
      <c r="D104" s="311"/>
      <c r="E104" s="311"/>
      <c r="F104" s="311"/>
      <c r="G104" s="311"/>
      <c r="H104" s="311"/>
      <c r="I104" s="311"/>
      <c r="J104" s="355"/>
      <c r="K104" s="433" t="s">
        <v>545</v>
      </c>
      <c r="L104" s="434"/>
      <c r="M104" s="434" t="s">
        <v>159</v>
      </c>
      <c r="N104" s="91"/>
      <c r="R104" s="290"/>
      <c r="S104" s="407"/>
    </row>
    <row r="105" spans="1:19" ht="15">
      <c r="A105" s="8" t="s">
        <v>142</v>
      </c>
      <c r="B105" s="894" t="s">
        <v>473</v>
      </c>
      <c r="C105" s="894"/>
      <c r="D105" s="894"/>
      <c r="E105" s="894"/>
      <c r="F105" s="894"/>
      <c r="G105" s="894"/>
      <c r="H105" s="894"/>
      <c r="I105" s="894"/>
      <c r="J105" s="355"/>
      <c r="K105" s="32"/>
      <c r="L105" s="333"/>
      <c r="M105" s="435" t="s">
        <v>546</v>
      </c>
      <c r="N105" s="419">
        <f>SUM(K106:K132)</f>
        <v>0</v>
      </c>
      <c r="Q105" s="290"/>
      <c r="R105" s="290"/>
      <c r="S105" s="407"/>
    </row>
    <row r="106" spans="2:19" ht="15">
      <c r="B106" s="894"/>
      <c r="C106" s="894"/>
      <c r="D106" s="894"/>
      <c r="E106" s="894"/>
      <c r="F106" s="894"/>
      <c r="G106" s="894"/>
      <c r="H106" s="894"/>
      <c r="I106" s="894"/>
      <c r="J106" s="355"/>
      <c r="K106" s="3"/>
      <c r="L106" s="3"/>
      <c r="M106" s="3"/>
      <c r="N106" s="3"/>
      <c r="R106" s="290"/>
      <c r="S106" s="407"/>
    </row>
    <row r="107" spans="2:19" ht="15">
      <c r="B107" s="894"/>
      <c r="C107" s="894"/>
      <c r="D107" s="894"/>
      <c r="E107" s="894"/>
      <c r="F107" s="894"/>
      <c r="G107" s="894"/>
      <c r="H107" s="894"/>
      <c r="I107" s="894"/>
      <c r="J107" s="355"/>
      <c r="K107" s="3"/>
      <c r="L107" s="3"/>
      <c r="M107" s="3"/>
      <c r="N107" s="3"/>
      <c r="R107" s="290"/>
      <c r="S107" s="388"/>
    </row>
    <row r="108" spans="1:19" ht="15">
      <c r="A108" s="8" t="s">
        <v>142</v>
      </c>
      <c r="B108" s="894" t="s">
        <v>388</v>
      </c>
      <c r="C108" s="894"/>
      <c r="D108" s="894"/>
      <c r="E108" s="894"/>
      <c r="F108" s="894"/>
      <c r="G108" s="894"/>
      <c r="H108" s="894"/>
      <c r="I108" s="894"/>
      <c r="J108" s="355"/>
      <c r="K108" s="3"/>
      <c r="L108" s="3"/>
      <c r="M108" s="3"/>
      <c r="N108" s="3"/>
      <c r="R108" s="290"/>
      <c r="S108" s="388"/>
    </row>
    <row r="109" spans="1:19" ht="15.75">
      <c r="A109" s="9"/>
      <c r="B109" s="894"/>
      <c r="C109" s="894"/>
      <c r="D109" s="894"/>
      <c r="E109" s="894"/>
      <c r="F109" s="894"/>
      <c r="G109" s="894"/>
      <c r="H109" s="894"/>
      <c r="I109" s="894"/>
      <c r="J109" s="355"/>
      <c r="K109" s="3"/>
      <c r="L109" s="3"/>
      <c r="M109" s="3"/>
      <c r="N109" s="3"/>
      <c r="R109" s="290"/>
      <c r="S109" s="388"/>
    </row>
    <row r="110" spans="1:19" ht="15.75">
      <c r="A110" s="9"/>
      <c r="B110" s="894"/>
      <c r="C110" s="894"/>
      <c r="D110" s="894"/>
      <c r="E110" s="894"/>
      <c r="F110" s="894"/>
      <c r="G110" s="894"/>
      <c r="H110" s="894"/>
      <c r="I110" s="894"/>
      <c r="J110" s="355"/>
      <c r="K110" s="3"/>
      <c r="L110" s="3"/>
      <c r="M110" s="3"/>
      <c r="N110" s="3"/>
      <c r="R110" s="290"/>
      <c r="S110" s="388"/>
    </row>
    <row r="111" spans="1:19" ht="15.75">
      <c r="A111" s="9"/>
      <c r="B111" s="327"/>
      <c r="C111" s="327"/>
      <c r="D111" s="327"/>
      <c r="E111" s="327"/>
      <c r="F111" s="327"/>
      <c r="G111" s="327"/>
      <c r="H111" s="327"/>
      <c r="I111" s="327"/>
      <c r="J111" s="355"/>
      <c r="K111" s="3"/>
      <c r="L111" s="3"/>
      <c r="M111" s="3"/>
      <c r="N111" s="3"/>
      <c r="R111" s="290"/>
      <c r="S111" s="388"/>
    </row>
    <row r="112" spans="1:19" ht="12.75" customHeight="1">
      <c r="A112" s="946" t="s">
        <v>156</v>
      </c>
      <c r="B112" s="788" t="s">
        <v>121</v>
      </c>
      <c r="C112" s="789"/>
      <c r="D112" s="827" t="s">
        <v>122</v>
      </c>
      <c r="E112" s="828"/>
      <c r="F112" s="828"/>
      <c r="G112" s="828"/>
      <c r="H112" s="828"/>
      <c r="I112" s="829"/>
      <c r="J112" s="312"/>
      <c r="N112" s="3"/>
      <c r="R112" s="108"/>
      <c r="S112" s="388"/>
    </row>
    <row r="113" spans="1:19" ht="12.75" customHeight="1">
      <c r="A113" s="947"/>
      <c r="B113" s="790"/>
      <c r="C113" s="791"/>
      <c r="D113" s="782" t="s">
        <v>130</v>
      </c>
      <c r="E113" s="784"/>
      <c r="F113" s="784"/>
      <c r="G113" s="784"/>
      <c r="H113" s="784"/>
      <c r="I113" s="783"/>
      <c r="J113" s="312"/>
      <c r="N113" s="3"/>
      <c r="R113" s="108"/>
      <c r="S113" s="388"/>
    </row>
    <row r="114" spans="1:19" ht="14.25" customHeight="1">
      <c r="A114" s="948"/>
      <c r="B114" s="792"/>
      <c r="C114" s="793"/>
      <c r="D114" s="903">
        <v>0</v>
      </c>
      <c r="E114" s="902"/>
      <c r="F114" s="901" t="s">
        <v>387</v>
      </c>
      <c r="G114" s="902"/>
      <c r="H114" s="901" t="s">
        <v>55</v>
      </c>
      <c r="I114" s="902"/>
      <c r="J114" s="312"/>
      <c r="N114" s="3"/>
      <c r="R114" s="108"/>
      <c r="S114" s="388"/>
    </row>
    <row r="115" spans="1:19" ht="61.5" customHeight="1">
      <c r="A115" s="884" t="s">
        <v>386</v>
      </c>
      <c r="B115" s="728" t="s">
        <v>487</v>
      </c>
      <c r="C115" s="730"/>
      <c r="D115" s="737" t="s">
        <v>467</v>
      </c>
      <c r="E115" s="738"/>
      <c r="F115" s="737" t="s">
        <v>468</v>
      </c>
      <c r="G115" s="738"/>
      <c r="H115" s="737" t="s">
        <v>581</v>
      </c>
      <c r="I115" s="738"/>
      <c r="J115" s="312"/>
      <c r="N115" s="3"/>
      <c r="R115" s="108"/>
      <c r="S115" s="388"/>
    </row>
    <row r="116" spans="1:19" ht="12.75" customHeight="1">
      <c r="A116" s="834"/>
      <c r="B116" s="749"/>
      <c r="C116" s="751"/>
      <c r="D116" s="739"/>
      <c r="E116" s="740"/>
      <c r="F116" s="739"/>
      <c r="G116" s="740"/>
      <c r="H116" s="739"/>
      <c r="I116" s="740"/>
      <c r="J116" s="312"/>
      <c r="N116" s="3"/>
      <c r="R116" s="108"/>
      <c r="S116" s="388"/>
    </row>
    <row r="117" spans="1:19" ht="18.75" customHeight="1">
      <c r="A117" s="834"/>
      <c r="B117" s="950" t="s">
        <v>410</v>
      </c>
      <c r="C117" s="951"/>
      <c r="D117" s="741"/>
      <c r="E117" s="742"/>
      <c r="F117" s="741"/>
      <c r="G117" s="742"/>
      <c r="H117" s="741"/>
      <c r="I117" s="742"/>
      <c r="J117" s="312"/>
      <c r="N117" s="3"/>
      <c r="R117" s="108"/>
      <c r="S117" s="388"/>
    </row>
    <row r="118" spans="1:19" ht="14.25" customHeight="1">
      <c r="A118" s="834"/>
      <c r="B118" s="749" t="s">
        <v>645</v>
      </c>
      <c r="C118" s="751"/>
      <c r="D118" s="952">
        <f>IF(AND(F118="",H118=""),IF(fio="","",0),"")</f>
      </c>
      <c r="E118" s="722"/>
      <c r="F118" s="721"/>
      <c r="G118" s="722"/>
      <c r="H118" s="721"/>
      <c r="I118" s="722"/>
      <c r="J118" s="312"/>
      <c r="K118" s="32">
        <f>MAX(D118:I119)</f>
        <v>0</v>
      </c>
      <c r="L118" s="274">
        <v>100</v>
      </c>
      <c r="M118" s="275"/>
      <c r="N118" s="3"/>
      <c r="R118" s="108"/>
      <c r="S118" s="388"/>
    </row>
    <row r="119" spans="1:19" ht="12.75">
      <c r="A119" s="885"/>
      <c r="B119" s="746"/>
      <c r="C119" s="748"/>
      <c r="D119" s="723"/>
      <c r="E119" s="724"/>
      <c r="F119" s="723"/>
      <c r="G119" s="724"/>
      <c r="H119" s="723"/>
      <c r="I119" s="724"/>
      <c r="J119" s="312"/>
      <c r="K119" s="32"/>
      <c r="L119" s="274"/>
      <c r="M119" s="275"/>
      <c r="N119" s="3"/>
      <c r="R119" s="108"/>
      <c r="S119" s="388"/>
    </row>
    <row r="120" spans="1:19" ht="12.75" customHeight="1">
      <c r="A120" s="946" t="s">
        <v>156</v>
      </c>
      <c r="B120" s="788" t="s">
        <v>121</v>
      </c>
      <c r="C120" s="815"/>
      <c r="D120" s="789"/>
      <c r="E120" s="895" t="s">
        <v>122</v>
      </c>
      <c r="F120" s="896"/>
      <c r="G120" s="896"/>
      <c r="H120" s="896"/>
      <c r="I120" s="897"/>
      <c r="J120" s="312"/>
      <c r="K120" s="32"/>
      <c r="L120" s="274"/>
      <c r="M120" s="275"/>
      <c r="N120" s="3"/>
      <c r="R120" s="108"/>
      <c r="S120" s="388"/>
    </row>
    <row r="121" spans="1:19" ht="12.75" customHeight="1">
      <c r="A121" s="947"/>
      <c r="B121" s="790"/>
      <c r="C121" s="816"/>
      <c r="D121" s="791"/>
      <c r="E121" s="898" t="s">
        <v>231</v>
      </c>
      <c r="F121" s="899"/>
      <c r="G121" s="899"/>
      <c r="H121" s="899"/>
      <c r="I121" s="900"/>
      <c r="J121" s="312"/>
      <c r="K121" s="32"/>
      <c r="L121" s="274"/>
      <c r="M121" s="275"/>
      <c r="N121" s="3"/>
      <c r="R121" s="108"/>
      <c r="S121" s="388"/>
    </row>
    <row r="122" spans="1:19" ht="12.75" customHeight="1">
      <c r="A122" s="948"/>
      <c r="B122" s="792"/>
      <c r="C122" s="817"/>
      <c r="D122" s="793"/>
      <c r="E122" s="263">
        <v>0</v>
      </c>
      <c r="F122" s="901" t="s">
        <v>387</v>
      </c>
      <c r="G122" s="902"/>
      <c r="H122" s="901" t="s">
        <v>55</v>
      </c>
      <c r="I122" s="902"/>
      <c r="J122" s="312"/>
      <c r="K122" s="32"/>
      <c r="L122" s="274"/>
      <c r="M122" s="275"/>
      <c r="N122" s="3"/>
      <c r="R122" s="108"/>
      <c r="S122" s="388"/>
    </row>
    <row r="123" spans="1:19" ht="41.25" customHeight="1">
      <c r="A123" s="884" t="s">
        <v>389</v>
      </c>
      <c r="B123" s="728" t="s">
        <v>646</v>
      </c>
      <c r="C123" s="729"/>
      <c r="D123" s="730"/>
      <c r="E123" s="277" t="s">
        <v>328</v>
      </c>
      <c r="F123" s="752" t="s">
        <v>326</v>
      </c>
      <c r="G123" s="752"/>
      <c r="H123" s="752" t="s">
        <v>327</v>
      </c>
      <c r="I123" s="752"/>
      <c r="J123" s="312"/>
      <c r="K123" s="32"/>
      <c r="L123" s="274"/>
      <c r="M123" s="275"/>
      <c r="N123" s="3"/>
      <c r="R123" s="108"/>
      <c r="S123" s="388"/>
    </row>
    <row r="124" spans="1:19" ht="12.75" customHeight="1">
      <c r="A124" s="834"/>
      <c r="B124" s="731"/>
      <c r="C124" s="732"/>
      <c r="D124" s="733"/>
      <c r="E124" s="743">
        <f>IF(AND(F124="",H124=""),IF(fio="","",0),"")</f>
      </c>
      <c r="F124" s="721"/>
      <c r="G124" s="722"/>
      <c r="H124" s="721"/>
      <c r="I124" s="722"/>
      <c r="J124" s="312"/>
      <c r="K124" s="32">
        <f>MAX(E124:I125)</f>
        <v>0</v>
      </c>
      <c r="L124" s="274">
        <v>100</v>
      </c>
      <c r="M124" s="275"/>
      <c r="N124" s="3"/>
      <c r="R124" s="108"/>
      <c r="S124" s="388"/>
    </row>
    <row r="125" spans="1:19" ht="12.75" customHeight="1">
      <c r="A125" s="885"/>
      <c r="B125" s="1043"/>
      <c r="C125" s="1044"/>
      <c r="D125" s="1045"/>
      <c r="E125" s="744"/>
      <c r="F125" s="723"/>
      <c r="G125" s="724"/>
      <c r="H125" s="723"/>
      <c r="I125" s="724"/>
      <c r="J125" s="312"/>
      <c r="K125" s="32"/>
      <c r="L125" s="274"/>
      <c r="M125" s="275"/>
      <c r="N125" s="3"/>
      <c r="R125" s="108"/>
      <c r="S125" s="388"/>
    </row>
    <row r="126" spans="1:19" ht="53.25" customHeight="1">
      <c r="A126" s="884" t="s">
        <v>390</v>
      </c>
      <c r="B126" s="728" t="s">
        <v>647</v>
      </c>
      <c r="C126" s="729"/>
      <c r="D126" s="730"/>
      <c r="E126" s="277" t="s">
        <v>329</v>
      </c>
      <c r="F126" s="752" t="s">
        <v>484</v>
      </c>
      <c r="G126" s="752"/>
      <c r="H126" s="752" t="s">
        <v>485</v>
      </c>
      <c r="I126" s="752"/>
      <c r="J126" s="312"/>
      <c r="K126" s="32"/>
      <c r="L126" s="274"/>
      <c r="M126" s="275"/>
      <c r="N126" s="3"/>
      <c r="R126" s="108"/>
      <c r="S126" s="388"/>
    </row>
    <row r="127" spans="1:19" ht="12.75" customHeight="1">
      <c r="A127" s="834"/>
      <c r="B127" s="749" t="s">
        <v>392</v>
      </c>
      <c r="C127" s="750"/>
      <c r="D127" s="751"/>
      <c r="E127" s="743">
        <f>IF(AND(F127="",H127=""),IF(fio="","",0),"")</f>
      </c>
      <c r="F127" s="721"/>
      <c r="G127" s="886"/>
      <c r="H127" s="721"/>
      <c r="I127" s="886"/>
      <c r="J127" s="312"/>
      <c r="K127" s="32">
        <f>MAX(E127:I128)</f>
        <v>0</v>
      </c>
      <c r="L127" s="274">
        <v>100</v>
      </c>
      <c r="M127" s="275"/>
      <c r="N127" s="3"/>
      <c r="R127" s="108"/>
      <c r="S127" s="388"/>
    </row>
    <row r="128" spans="1:19" ht="12.75" customHeight="1">
      <c r="A128" s="885"/>
      <c r="B128" s="746"/>
      <c r="C128" s="747"/>
      <c r="D128" s="748"/>
      <c r="E128" s="744"/>
      <c r="F128" s="904"/>
      <c r="G128" s="905"/>
      <c r="H128" s="904"/>
      <c r="I128" s="905"/>
      <c r="J128" s="312"/>
      <c r="K128" s="32"/>
      <c r="L128" s="274"/>
      <c r="M128" s="275"/>
      <c r="R128" s="293"/>
      <c r="S128" s="388"/>
    </row>
    <row r="129" spans="1:19" s="146" customFormat="1" ht="36" customHeight="1">
      <c r="A129" s="884" t="s">
        <v>391</v>
      </c>
      <c r="B129" s="728" t="s">
        <v>648</v>
      </c>
      <c r="C129" s="729"/>
      <c r="D129" s="730"/>
      <c r="E129" s="277" t="s">
        <v>325</v>
      </c>
      <c r="F129" s="752" t="s">
        <v>395</v>
      </c>
      <c r="G129" s="752"/>
      <c r="H129" s="752" t="s">
        <v>396</v>
      </c>
      <c r="I129" s="752"/>
      <c r="J129" s="315"/>
      <c r="K129" s="32"/>
      <c r="L129" s="274"/>
      <c r="M129" s="275"/>
      <c r="N129" s="158"/>
      <c r="R129" s="292"/>
      <c r="S129" s="389"/>
    </row>
    <row r="130" spans="1:19" ht="12.75" customHeight="1">
      <c r="A130" s="834"/>
      <c r="B130" s="749" t="s">
        <v>392</v>
      </c>
      <c r="C130" s="750"/>
      <c r="D130" s="751"/>
      <c r="E130" s="743">
        <f>IF(AND(F130="",H130=""),IF(fio="","",0),"")</f>
      </c>
      <c r="F130" s="721"/>
      <c r="G130" s="722"/>
      <c r="H130" s="721"/>
      <c r="I130" s="722"/>
      <c r="J130" s="312"/>
      <c r="K130" s="32">
        <f>MAX(E130:I131)</f>
        <v>0</v>
      </c>
      <c r="L130" s="274">
        <v>100</v>
      </c>
      <c r="M130" s="275"/>
      <c r="O130" s="91"/>
      <c r="R130" s="108"/>
      <c r="S130" s="388"/>
    </row>
    <row r="131" spans="1:19" ht="12.75" customHeight="1">
      <c r="A131" s="885"/>
      <c r="B131" s="746"/>
      <c r="C131" s="747"/>
      <c r="D131" s="748"/>
      <c r="E131" s="744"/>
      <c r="F131" s="723"/>
      <c r="G131" s="724"/>
      <c r="H131" s="723"/>
      <c r="I131" s="724"/>
      <c r="J131" s="312"/>
      <c r="K131" s="32"/>
      <c r="L131" s="274"/>
      <c r="M131" s="275"/>
      <c r="O131" s="91"/>
      <c r="R131" s="108"/>
      <c r="S131" s="388"/>
    </row>
    <row r="132" spans="1:19" ht="30" customHeight="1">
      <c r="A132" s="280"/>
      <c r="B132" s="344"/>
      <c r="C132" s="344"/>
      <c r="D132" s="345"/>
      <c r="E132" s="346"/>
      <c r="F132" s="107"/>
      <c r="G132" s="107"/>
      <c r="H132" s="107"/>
      <c r="I132" s="107"/>
      <c r="J132" s="312"/>
      <c r="K132" s="32"/>
      <c r="L132" s="272"/>
      <c r="M132" s="272"/>
      <c r="O132" s="91"/>
      <c r="R132" s="108"/>
      <c r="S132" s="388"/>
    </row>
    <row r="133" spans="1:63" s="332" customFormat="1" ht="31.5" customHeight="1">
      <c r="A133" s="4" t="s">
        <v>575</v>
      </c>
      <c r="B133" s="910" t="s">
        <v>498</v>
      </c>
      <c r="C133" s="910"/>
      <c r="D133" s="910"/>
      <c r="E133" s="910"/>
      <c r="F133" s="910"/>
      <c r="G133" s="910"/>
      <c r="H133" s="910"/>
      <c r="I133" s="910"/>
      <c r="J133" s="312"/>
      <c r="K133" s="343"/>
      <c r="L133" s="333"/>
      <c r="M133" s="435" t="s">
        <v>393</v>
      </c>
      <c r="N133" s="419">
        <f>SUM(K134:K237)</f>
        <v>0</v>
      </c>
      <c r="O133" s="343"/>
      <c r="P133" s="343"/>
      <c r="Q133" s="343"/>
      <c r="R133" s="343"/>
      <c r="S133" s="390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343"/>
      <c r="AO133" s="343"/>
      <c r="AP133" s="343"/>
      <c r="AQ133" s="343"/>
      <c r="AR133" s="343"/>
      <c r="AS133" s="343"/>
      <c r="AT133" s="343"/>
      <c r="AU133" s="343"/>
      <c r="AV133" s="343"/>
      <c r="AW133" s="343"/>
      <c r="AX133" s="343"/>
      <c r="AY133" s="343"/>
      <c r="AZ133" s="343"/>
      <c r="BA133" s="343"/>
      <c r="BB133" s="343"/>
      <c r="BC133" s="343"/>
      <c r="BF133" s="331"/>
      <c r="BH133" s="333"/>
      <c r="BI133" s="334" t="s">
        <v>393</v>
      </c>
      <c r="BJ133" s="335">
        <f>SUM(BG134:BG300)</f>
        <v>0</v>
      </c>
      <c r="BK133" s="146"/>
    </row>
    <row r="134" spans="1:62" ht="15.75" customHeight="1">
      <c r="A134" s="326" t="s">
        <v>384</v>
      </c>
      <c r="B134" s="3"/>
      <c r="C134" s="336"/>
      <c r="D134" s="325"/>
      <c r="E134" s="325"/>
      <c r="F134" s="325"/>
      <c r="G134" s="325"/>
      <c r="H134" s="325"/>
      <c r="I134" s="325"/>
      <c r="J134" s="312"/>
      <c r="K134" s="336"/>
      <c r="L134" s="336"/>
      <c r="M134" s="336"/>
      <c r="N134" s="336"/>
      <c r="O134" s="336"/>
      <c r="P134" s="336"/>
      <c r="Q134" s="336"/>
      <c r="R134" s="336"/>
      <c r="S134" s="391"/>
      <c r="T134" s="336"/>
      <c r="U134" s="336"/>
      <c r="V134" s="336"/>
      <c r="W134" s="336"/>
      <c r="X134" s="336"/>
      <c r="Y134" s="336"/>
      <c r="Z134" s="336"/>
      <c r="AA134" s="336"/>
      <c r="AB134" s="336"/>
      <c r="AC134" s="336"/>
      <c r="AD134" s="336"/>
      <c r="AE134" s="336"/>
      <c r="AF134" s="336"/>
      <c r="AG134" s="336"/>
      <c r="AH134" s="336"/>
      <c r="AI134" s="336"/>
      <c r="AJ134" s="336"/>
      <c r="AK134" s="336"/>
      <c r="AL134" s="336"/>
      <c r="AM134" s="336"/>
      <c r="AN134" s="336"/>
      <c r="AO134" s="336"/>
      <c r="AP134" s="336"/>
      <c r="AQ134" s="336"/>
      <c r="AR134" s="336"/>
      <c r="AS134" s="336"/>
      <c r="AT134" s="336"/>
      <c r="AU134" s="336"/>
      <c r="AV134" s="336"/>
      <c r="AW134" s="336"/>
      <c r="AX134" s="336"/>
      <c r="AY134" s="336"/>
      <c r="AZ134" s="336"/>
      <c r="BA134" s="336"/>
      <c r="BB134" s="336"/>
      <c r="BC134" s="336"/>
      <c r="BD134" s="336"/>
      <c r="BE134" s="336"/>
      <c r="BF134" s="331"/>
      <c r="BG134" s="32"/>
      <c r="BH134" s="32"/>
      <c r="BI134" s="32"/>
      <c r="BJ134" s="91"/>
    </row>
    <row r="135" spans="1:62" ht="12.75" customHeight="1">
      <c r="A135" s="349" t="s">
        <v>142</v>
      </c>
      <c r="B135" s="894" t="s">
        <v>471</v>
      </c>
      <c r="C135" s="894"/>
      <c r="D135" s="894"/>
      <c r="E135" s="894"/>
      <c r="F135" s="894"/>
      <c r="G135" s="894"/>
      <c r="H135" s="894"/>
      <c r="I135" s="894"/>
      <c r="J135" s="312"/>
      <c r="K135" s="347"/>
      <c r="L135" s="347"/>
      <c r="M135" s="347"/>
      <c r="N135" s="347"/>
      <c r="O135" s="347"/>
      <c r="P135" s="347"/>
      <c r="Q135" s="347"/>
      <c r="R135" s="347"/>
      <c r="S135" s="392"/>
      <c r="T135" s="347"/>
      <c r="U135" s="347"/>
      <c r="V135" s="347"/>
      <c r="W135" s="347"/>
      <c r="X135" s="347"/>
      <c r="Y135" s="347"/>
      <c r="Z135" s="347"/>
      <c r="AA135" s="347"/>
      <c r="AB135" s="347"/>
      <c r="AC135" s="347"/>
      <c r="AD135" s="347"/>
      <c r="AE135" s="347"/>
      <c r="AF135" s="347"/>
      <c r="AG135" s="347"/>
      <c r="AH135" s="347"/>
      <c r="AI135" s="347"/>
      <c r="AJ135" s="347"/>
      <c r="AK135" s="347"/>
      <c r="AL135" s="347"/>
      <c r="AM135" s="347"/>
      <c r="AN135" s="347"/>
      <c r="AO135" s="347"/>
      <c r="AP135" s="347"/>
      <c r="AQ135" s="347"/>
      <c r="AR135" s="347"/>
      <c r="AS135" s="347"/>
      <c r="AT135" s="347"/>
      <c r="AU135" s="347"/>
      <c r="AV135" s="347"/>
      <c r="AW135" s="347"/>
      <c r="AX135" s="347"/>
      <c r="AY135" s="347"/>
      <c r="AZ135" s="347"/>
      <c r="BA135" s="347"/>
      <c r="BB135" s="347"/>
      <c r="BC135" s="347"/>
      <c r="BD135" s="347"/>
      <c r="BF135" s="331"/>
      <c r="BG135" s="32"/>
      <c r="BH135" s="32"/>
      <c r="BI135" s="32"/>
      <c r="BJ135" s="91"/>
    </row>
    <row r="136" spans="1:62" ht="15.75" customHeight="1">
      <c r="A136" s="349"/>
      <c r="B136" s="894"/>
      <c r="C136" s="894"/>
      <c r="D136" s="894"/>
      <c r="E136" s="894"/>
      <c r="F136" s="894"/>
      <c r="G136" s="894"/>
      <c r="H136" s="894"/>
      <c r="I136" s="894"/>
      <c r="J136" s="312"/>
      <c r="K136" s="347"/>
      <c r="L136" s="347"/>
      <c r="M136" s="347"/>
      <c r="N136" s="347"/>
      <c r="O136" s="347"/>
      <c r="P136" s="347"/>
      <c r="Q136" s="347"/>
      <c r="R136" s="347"/>
      <c r="S136" s="392"/>
      <c r="T136" s="347"/>
      <c r="U136" s="347"/>
      <c r="V136" s="347"/>
      <c r="W136" s="347"/>
      <c r="X136" s="347"/>
      <c r="Y136" s="347"/>
      <c r="Z136" s="347"/>
      <c r="AA136" s="347"/>
      <c r="AB136" s="347"/>
      <c r="AC136" s="347"/>
      <c r="AD136" s="347"/>
      <c r="AE136" s="347"/>
      <c r="AF136" s="347"/>
      <c r="AG136" s="347"/>
      <c r="AH136" s="347"/>
      <c r="AI136" s="347"/>
      <c r="AJ136" s="347"/>
      <c r="AK136" s="347"/>
      <c r="AL136" s="347"/>
      <c r="AM136" s="347"/>
      <c r="AN136" s="347"/>
      <c r="AO136" s="347"/>
      <c r="AP136" s="347"/>
      <c r="AQ136" s="347"/>
      <c r="AR136" s="347"/>
      <c r="AS136" s="347"/>
      <c r="AT136" s="347"/>
      <c r="AU136" s="347"/>
      <c r="AV136" s="347"/>
      <c r="AW136" s="347"/>
      <c r="AX136" s="347"/>
      <c r="AY136" s="347"/>
      <c r="AZ136" s="347"/>
      <c r="BA136" s="347"/>
      <c r="BB136" s="347"/>
      <c r="BC136" s="347"/>
      <c r="BD136" s="347"/>
      <c r="BF136" s="331"/>
      <c r="BG136" s="32"/>
      <c r="BH136" s="32"/>
      <c r="BI136" s="32"/>
      <c r="BJ136" s="91"/>
    </row>
    <row r="137" spans="1:62" ht="12.75" customHeight="1">
      <c r="A137" s="349" t="s">
        <v>142</v>
      </c>
      <c r="B137" s="893" t="s">
        <v>472</v>
      </c>
      <c r="C137" s="893"/>
      <c r="D137" s="893"/>
      <c r="E137" s="893"/>
      <c r="F137" s="893"/>
      <c r="G137" s="893"/>
      <c r="H137" s="893"/>
      <c r="I137" s="893"/>
      <c r="J137" s="312"/>
      <c r="K137" s="348"/>
      <c r="L137" s="348"/>
      <c r="M137" s="348"/>
      <c r="N137" s="348"/>
      <c r="O137" s="348"/>
      <c r="P137" s="348"/>
      <c r="Q137" s="348"/>
      <c r="R137" s="348"/>
      <c r="S137" s="392"/>
      <c r="T137" s="348"/>
      <c r="U137" s="348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I137" s="348"/>
      <c r="AJ137" s="348"/>
      <c r="AK137" s="348"/>
      <c r="AL137" s="348"/>
      <c r="AM137" s="348"/>
      <c r="AN137" s="348"/>
      <c r="AO137" s="348"/>
      <c r="AP137" s="348"/>
      <c r="AQ137" s="348"/>
      <c r="AR137" s="348"/>
      <c r="AS137" s="348"/>
      <c r="AT137" s="348"/>
      <c r="AU137" s="348"/>
      <c r="AV137" s="348"/>
      <c r="AW137" s="348"/>
      <c r="AX137" s="348"/>
      <c r="AY137" s="348"/>
      <c r="AZ137" s="348"/>
      <c r="BA137" s="348"/>
      <c r="BB137" s="348"/>
      <c r="BC137" s="348"/>
      <c r="BD137" s="348"/>
      <c r="BF137" s="331"/>
      <c r="BG137" s="32"/>
      <c r="BH137" s="32"/>
      <c r="BI137" s="32"/>
      <c r="BJ137" s="91"/>
    </row>
    <row r="138" spans="1:62" ht="12.75" customHeight="1">
      <c r="A138" s="350"/>
      <c r="B138" s="893"/>
      <c r="C138" s="893"/>
      <c r="D138" s="893"/>
      <c r="E138" s="893"/>
      <c r="F138" s="893"/>
      <c r="G138" s="893"/>
      <c r="H138" s="893"/>
      <c r="I138" s="893"/>
      <c r="J138" s="312"/>
      <c r="K138" s="348"/>
      <c r="L138" s="348"/>
      <c r="M138" s="348"/>
      <c r="N138" s="348"/>
      <c r="O138" s="348"/>
      <c r="P138" s="348"/>
      <c r="Q138" s="348"/>
      <c r="R138" s="348"/>
      <c r="S138" s="392"/>
      <c r="T138" s="348"/>
      <c r="U138" s="348"/>
      <c r="V138" s="348"/>
      <c r="W138" s="348"/>
      <c r="X138" s="348"/>
      <c r="Y138" s="348"/>
      <c r="Z138" s="348"/>
      <c r="AA138" s="348"/>
      <c r="AB138" s="348"/>
      <c r="AC138" s="348"/>
      <c r="AD138" s="348"/>
      <c r="AE138" s="348"/>
      <c r="AF138" s="348"/>
      <c r="AG138" s="348"/>
      <c r="AH138" s="348"/>
      <c r="AI138" s="348"/>
      <c r="AJ138" s="348"/>
      <c r="AK138" s="348"/>
      <c r="AL138" s="348"/>
      <c r="AM138" s="348"/>
      <c r="AN138" s="348"/>
      <c r="AO138" s="348"/>
      <c r="AP138" s="348"/>
      <c r="AQ138" s="348"/>
      <c r="AR138" s="348"/>
      <c r="AS138" s="348"/>
      <c r="AT138" s="348"/>
      <c r="AU138" s="348"/>
      <c r="AV138" s="348"/>
      <c r="AW138" s="348"/>
      <c r="AX138" s="348"/>
      <c r="AY138" s="348"/>
      <c r="AZ138" s="348"/>
      <c r="BA138" s="348"/>
      <c r="BB138" s="348"/>
      <c r="BC138" s="348"/>
      <c r="BD138" s="348"/>
      <c r="BF138" s="331"/>
      <c r="BG138" s="32"/>
      <c r="BJ138" s="91"/>
    </row>
    <row r="139" spans="1:62" ht="18" customHeight="1">
      <c r="A139" s="337"/>
      <c r="B139" s="893"/>
      <c r="C139" s="893"/>
      <c r="D139" s="893"/>
      <c r="E139" s="893"/>
      <c r="F139" s="893"/>
      <c r="G139" s="893"/>
      <c r="H139" s="893"/>
      <c r="I139" s="893"/>
      <c r="J139" s="312"/>
      <c r="K139" s="348"/>
      <c r="L139" s="348"/>
      <c r="M139" s="348"/>
      <c r="N139" s="348"/>
      <c r="O139" s="348"/>
      <c r="P139" s="348"/>
      <c r="Q139" s="348"/>
      <c r="R139" s="348"/>
      <c r="S139" s="392"/>
      <c r="T139" s="348"/>
      <c r="U139" s="348"/>
      <c r="V139" s="348"/>
      <c r="W139" s="348"/>
      <c r="X139" s="348"/>
      <c r="Y139" s="348"/>
      <c r="Z139" s="348"/>
      <c r="AA139" s="348"/>
      <c r="AB139" s="348"/>
      <c r="AC139" s="348"/>
      <c r="AD139" s="348"/>
      <c r="AE139" s="348"/>
      <c r="AF139" s="348"/>
      <c r="AG139" s="348"/>
      <c r="AH139" s="348"/>
      <c r="AI139" s="348"/>
      <c r="AJ139" s="348"/>
      <c r="AK139" s="348"/>
      <c r="AL139" s="348"/>
      <c r="AM139" s="348"/>
      <c r="AN139" s="348"/>
      <c r="AO139" s="348"/>
      <c r="AP139" s="348"/>
      <c r="AQ139" s="348"/>
      <c r="AR139" s="348"/>
      <c r="AS139" s="348"/>
      <c r="AT139" s="348"/>
      <c r="AU139" s="348"/>
      <c r="AV139" s="348"/>
      <c r="AW139" s="348"/>
      <c r="AX139" s="348"/>
      <c r="AY139" s="348"/>
      <c r="AZ139" s="348"/>
      <c r="BA139" s="348"/>
      <c r="BB139" s="348"/>
      <c r="BC139" s="348"/>
      <c r="BD139" s="348"/>
      <c r="BF139" s="331"/>
      <c r="BG139" s="32"/>
      <c r="BJ139" s="91"/>
    </row>
    <row r="140" spans="1:62" s="146" customFormat="1" ht="0.75" customHeight="1">
      <c r="A140" s="338"/>
      <c r="B140" s="339"/>
      <c r="C140" s="340"/>
      <c r="D140" s="340"/>
      <c r="E140" s="340"/>
      <c r="F140" s="340"/>
      <c r="G140" s="340"/>
      <c r="H140" s="340"/>
      <c r="I140" s="340"/>
      <c r="J140" s="312"/>
      <c r="K140" s="340"/>
      <c r="L140" s="340"/>
      <c r="M140" s="340"/>
      <c r="N140" s="340"/>
      <c r="O140" s="340"/>
      <c r="P140" s="340"/>
      <c r="Q140" s="340"/>
      <c r="R140" s="340"/>
      <c r="S140" s="393"/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  <c r="AD140" s="340"/>
      <c r="AE140" s="340"/>
      <c r="AF140" s="340"/>
      <c r="AG140" s="340"/>
      <c r="AH140" s="340"/>
      <c r="AI140" s="340"/>
      <c r="AJ140" s="340"/>
      <c r="AK140" s="340"/>
      <c r="AL140" s="340"/>
      <c r="AM140" s="340"/>
      <c r="AN140" s="340"/>
      <c r="AO140" s="340"/>
      <c r="AP140" s="340"/>
      <c r="AQ140" s="340"/>
      <c r="AR140" s="340"/>
      <c r="AS140" s="340"/>
      <c r="AT140" s="340"/>
      <c r="AU140" s="340"/>
      <c r="AV140" s="340"/>
      <c r="AW140" s="340"/>
      <c r="AX140" s="340"/>
      <c r="AY140" s="340"/>
      <c r="AZ140" s="340"/>
      <c r="BA140" s="340"/>
      <c r="BB140" s="340"/>
      <c r="BC140" s="340"/>
      <c r="BD140" s="340"/>
      <c r="BE140" s="340"/>
      <c r="BF140" s="331"/>
      <c r="BG140" s="341"/>
      <c r="BJ140" s="342"/>
    </row>
    <row r="141" spans="1:19" ht="12.75" customHeight="1">
      <c r="A141" s="785" t="s">
        <v>156</v>
      </c>
      <c r="B141" s="788" t="s">
        <v>121</v>
      </c>
      <c r="C141" s="789"/>
      <c r="D141" s="824" t="s">
        <v>324</v>
      </c>
      <c r="E141" s="895" t="s">
        <v>122</v>
      </c>
      <c r="F141" s="896"/>
      <c r="G141" s="896"/>
      <c r="H141" s="896"/>
      <c r="I141" s="897"/>
      <c r="J141" s="312"/>
      <c r="K141" s="32"/>
      <c r="L141" s="274"/>
      <c r="M141" s="275"/>
      <c r="O141" s="91"/>
      <c r="R141" s="108"/>
      <c r="S141" s="393"/>
    </row>
    <row r="142" spans="1:19" ht="12.75">
      <c r="A142" s="786"/>
      <c r="B142" s="790"/>
      <c r="C142" s="791"/>
      <c r="D142" s="825"/>
      <c r="E142" s="898" t="s">
        <v>231</v>
      </c>
      <c r="F142" s="899"/>
      <c r="G142" s="899"/>
      <c r="H142" s="899"/>
      <c r="I142" s="900"/>
      <c r="J142" s="312"/>
      <c r="K142" s="32"/>
      <c r="L142" s="274"/>
      <c r="M142" s="275"/>
      <c r="O142" s="91"/>
      <c r="R142" s="108"/>
      <c r="S142" s="393"/>
    </row>
    <row r="143" spans="1:19" ht="12.75" customHeight="1">
      <c r="A143" s="787"/>
      <c r="B143" s="792"/>
      <c r="C143" s="793"/>
      <c r="D143" s="826"/>
      <c r="E143" s="11" t="s">
        <v>334</v>
      </c>
      <c r="F143" s="11" t="s">
        <v>335</v>
      </c>
      <c r="G143" s="11" t="s">
        <v>8</v>
      </c>
      <c r="H143" s="11" t="s">
        <v>9</v>
      </c>
      <c r="I143" s="11" t="s">
        <v>265</v>
      </c>
      <c r="J143" s="312"/>
      <c r="K143" s="32"/>
      <c r="L143" s="274"/>
      <c r="M143" s="275"/>
      <c r="O143" s="91"/>
      <c r="R143" s="108"/>
      <c r="S143" s="393"/>
    </row>
    <row r="144" spans="1:19" ht="12.75" customHeight="1">
      <c r="A144" s="821" t="s">
        <v>124</v>
      </c>
      <c r="B144" s="774" t="s">
        <v>595</v>
      </c>
      <c r="C144" s="775"/>
      <c r="D144" s="859" t="s">
        <v>336</v>
      </c>
      <c r="E144" s="273" t="s">
        <v>337</v>
      </c>
      <c r="F144" s="278" t="s">
        <v>253</v>
      </c>
      <c r="G144" s="273" t="s">
        <v>126</v>
      </c>
      <c r="H144" s="279" t="s">
        <v>127</v>
      </c>
      <c r="I144" s="279" t="s">
        <v>317</v>
      </c>
      <c r="J144" s="312"/>
      <c r="K144" s="32"/>
      <c r="L144" s="274"/>
      <c r="M144" s="275"/>
      <c r="O144" s="91"/>
      <c r="R144" s="108"/>
      <c r="S144" s="393"/>
    </row>
    <row r="145" spans="1:19" ht="12.75" customHeight="1">
      <c r="A145" s="822"/>
      <c r="B145" s="776"/>
      <c r="C145" s="777"/>
      <c r="D145" s="860"/>
      <c r="E145" s="276" t="s">
        <v>489</v>
      </c>
      <c r="F145" s="280" t="s">
        <v>125</v>
      </c>
      <c r="G145" s="276" t="s">
        <v>125</v>
      </c>
      <c r="H145" s="834" t="s">
        <v>125</v>
      </c>
      <c r="I145" s="834" t="s">
        <v>125</v>
      </c>
      <c r="J145" s="312"/>
      <c r="K145" s="32"/>
      <c r="L145" s="274"/>
      <c r="M145" s="275"/>
      <c r="O145" s="91"/>
      <c r="R145" s="108"/>
      <c r="S145" s="393"/>
    </row>
    <row r="146" spans="1:19" ht="12.75">
      <c r="A146" s="822"/>
      <c r="B146" s="776"/>
      <c r="C146" s="777"/>
      <c r="D146" s="860"/>
      <c r="E146" s="276"/>
      <c r="F146" s="281"/>
      <c r="G146" s="282"/>
      <c r="H146" s="834"/>
      <c r="I146" s="834"/>
      <c r="J146" s="312"/>
      <c r="K146" s="32"/>
      <c r="L146" s="274"/>
      <c r="M146" s="275"/>
      <c r="O146" s="91"/>
      <c r="R146" s="108"/>
      <c r="S146" s="393"/>
    </row>
    <row r="147" spans="1:19" ht="12.75" customHeight="1">
      <c r="A147" s="822"/>
      <c r="B147" s="776"/>
      <c r="C147" s="777"/>
      <c r="D147" s="860"/>
      <c r="E147" s="835" t="s">
        <v>316</v>
      </c>
      <c r="F147" s="836"/>
      <c r="G147" s="836"/>
      <c r="H147" s="836"/>
      <c r="I147" s="837"/>
      <c r="J147" s="312"/>
      <c r="K147" s="32"/>
      <c r="L147" s="274"/>
      <c r="M147" s="275"/>
      <c r="O147" s="91"/>
      <c r="R147" s="108"/>
      <c r="S147" s="393"/>
    </row>
    <row r="148" spans="1:19" ht="24.75" customHeight="1">
      <c r="A148" s="822"/>
      <c r="B148" s="776"/>
      <c r="C148" s="777"/>
      <c r="D148" s="860"/>
      <c r="E148" s="303" t="s">
        <v>349</v>
      </c>
      <c r="F148" s="304" t="s">
        <v>351</v>
      </c>
      <c r="G148" s="304" t="s">
        <v>352</v>
      </c>
      <c r="H148" s="302" t="s">
        <v>354</v>
      </c>
      <c r="I148" s="302" t="s">
        <v>356</v>
      </c>
      <c r="J148" s="312"/>
      <c r="K148" s="32"/>
      <c r="L148" s="274"/>
      <c r="M148" s="275"/>
      <c r="O148" s="91"/>
      <c r="R148" s="108"/>
      <c r="S148" s="393"/>
    </row>
    <row r="149" spans="1:19" ht="33" customHeight="1">
      <c r="A149" s="822"/>
      <c r="B149" s="776"/>
      <c r="C149" s="777"/>
      <c r="D149" s="860"/>
      <c r="E149" s="838" t="s">
        <v>338</v>
      </c>
      <c r="F149" s="588" t="s">
        <v>350</v>
      </c>
      <c r="G149" s="588" t="s">
        <v>353</v>
      </c>
      <c r="H149" s="589" t="s">
        <v>355</v>
      </c>
      <c r="I149" s="838" t="s">
        <v>596</v>
      </c>
      <c r="J149" s="312"/>
      <c r="K149" s="32"/>
      <c r="L149" s="274"/>
      <c r="M149" s="275"/>
      <c r="O149" s="91"/>
      <c r="R149" s="108"/>
      <c r="S149" s="393"/>
    </row>
    <row r="150" spans="1:19" ht="26.25" customHeight="1">
      <c r="A150" s="822"/>
      <c r="B150" s="766" t="s">
        <v>474</v>
      </c>
      <c r="C150" s="767"/>
      <c r="D150" s="860"/>
      <c r="E150" s="838"/>
      <c r="F150" s="304" t="s">
        <v>339</v>
      </c>
      <c r="G150" s="304" t="s">
        <v>340</v>
      </c>
      <c r="H150" s="302" t="s">
        <v>341</v>
      </c>
      <c r="I150" s="838"/>
      <c r="J150" s="312"/>
      <c r="K150" s="32"/>
      <c r="L150" s="274"/>
      <c r="M150" s="275"/>
      <c r="O150" s="91"/>
      <c r="R150" s="108"/>
      <c r="S150" s="393"/>
    </row>
    <row r="151" spans="1:19" ht="24.75" customHeight="1">
      <c r="A151" s="822"/>
      <c r="B151" s="766"/>
      <c r="C151" s="767"/>
      <c r="D151" s="860"/>
      <c r="E151" s="354" t="s">
        <v>342</v>
      </c>
      <c r="F151" s="285" t="s">
        <v>343</v>
      </c>
      <c r="G151" s="285" t="s">
        <v>10</v>
      </c>
      <c r="H151" s="285" t="s">
        <v>11</v>
      </c>
      <c r="I151" s="285" t="s">
        <v>12</v>
      </c>
      <c r="J151" s="312"/>
      <c r="L151" s="274"/>
      <c r="M151" s="275"/>
      <c r="O151" s="91"/>
      <c r="R151" s="108"/>
      <c r="S151" s="393"/>
    </row>
    <row r="152" spans="1:19" ht="12.75">
      <c r="A152" s="822"/>
      <c r="B152" s="766"/>
      <c r="C152" s="767"/>
      <c r="D152" s="860"/>
      <c r="E152" s="764">
        <v>0</v>
      </c>
      <c r="F152" s="764"/>
      <c r="G152" s="764"/>
      <c r="H152" s="764"/>
      <c r="I152" s="764"/>
      <c r="J152" s="312"/>
      <c r="K152" s="32">
        <f>SUM(E152:I153)</f>
        <v>0</v>
      </c>
      <c r="L152" s="274">
        <v>340</v>
      </c>
      <c r="M152" s="275"/>
      <c r="O152" s="91"/>
      <c r="R152" s="108"/>
      <c r="S152" s="393"/>
    </row>
    <row r="153" spans="1:19" ht="8.25" customHeight="1">
      <c r="A153" s="823"/>
      <c r="B153" s="768"/>
      <c r="C153" s="769"/>
      <c r="D153" s="861"/>
      <c r="E153" s="765"/>
      <c r="F153" s="765"/>
      <c r="G153" s="765"/>
      <c r="H153" s="765"/>
      <c r="I153" s="765"/>
      <c r="J153" s="312"/>
      <c r="K153" s="32"/>
      <c r="L153" s="274"/>
      <c r="M153" s="275"/>
      <c r="O153" s="91"/>
      <c r="R153" s="108"/>
      <c r="S153" s="393"/>
    </row>
    <row r="154" spans="1:19" ht="12.75" customHeight="1">
      <c r="A154" s="821" t="s">
        <v>131</v>
      </c>
      <c r="B154" s="774" t="s">
        <v>597</v>
      </c>
      <c r="C154" s="886"/>
      <c r="D154" s="859" t="s">
        <v>598</v>
      </c>
      <c r="E154" s="273" t="s">
        <v>337</v>
      </c>
      <c r="F154" s="278" t="s">
        <v>253</v>
      </c>
      <c r="G154" s="273" t="s">
        <v>126</v>
      </c>
      <c r="H154" s="279" t="s">
        <v>127</v>
      </c>
      <c r="I154" s="279" t="s">
        <v>317</v>
      </c>
      <c r="J154" s="312"/>
      <c r="K154" s="32"/>
      <c r="L154" s="274"/>
      <c r="M154" s="275"/>
      <c r="O154" s="91"/>
      <c r="R154" s="108"/>
      <c r="S154" s="393"/>
    </row>
    <row r="155" spans="1:19" ht="18" customHeight="1">
      <c r="A155" s="822"/>
      <c r="B155" s="887"/>
      <c r="C155" s="888"/>
      <c r="D155" s="860"/>
      <c r="E155" s="276" t="s">
        <v>489</v>
      </c>
      <c r="F155" s="280" t="s">
        <v>125</v>
      </c>
      <c r="G155" s="276" t="s">
        <v>125</v>
      </c>
      <c r="H155" s="834" t="s">
        <v>125</v>
      </c>
      <c r="I155" s="834" t="s">
        <v>125</v>
      </c>
      <c r="J155" s="312"/>
      <c r="K155" s="32"/>
      <c r="L155" s="274"/>
      <c r="M155" s="275"/>
      <c r="O155" s="91"/>
      <c r="R155" s="108"/>
      <c r="S155" s="393"/>
    </row>
    <row r="156" spans="1:19" ht="2.25" customHeight="1">
      <c r="A156" s="822"/>
      <c r="B156" s="887"/>
      <c r="C156" s="888"/>
      <c r="D156" s="860"/>
      <c r="E156" s="276"/>
      <c r="F156" s="281"/>
      <c r="G156" s="282"/>
      <c r="H156" s="834"/>
      <c r="I156" s="834"/>
      <c r="J156" s="312"/>
      <c r="K156" s="32"/>
      <c r="L156" s="274"/>
      <c r="M156" s="275"/>
      <c r="O156" s="91"/>
      <c r="R156" s="108"/>
      <c r="S156" s="393"/>
    </row>
    <row r="157" spans="1:19" ht="24">
      <c r="A157" s="822"/>
      <c r="B157" s="887"/>
      <c r="C157" s="888"/>
      <c r="D157" s="860"/>
      <c r="E157" s="283" t="s">
        <v>344</v>
      </c>
      <c r="F157" s="283" t="s">
        <v>16</v>
      </c>
      <c r="G157" s="283" t="s">
        <v>17</v>
      </c>
      <c r="H157" s="283" t="s">
        <v>21</v>
      </c>
      <c r="I157" s="284" t="s">
        <v>22</v>
      </c>
      <c r="J157" s="312"/>
      <c r="K157" s="32"/>
      <c r="L157" s="274"/>
      <c r="M157" s="275"/>
      <c r="O157" s="91"/>
      <c r="R157" s="108"/>
      <c r="S157" s="393"/>
    </row>
    <row r="158" spans="1:19" ht="24">
      <c r="A158" s="822"/>
      <c r="B158" s="887"/>
      <c r="C158" s="888"/>
      <c r="D158" s="860"/>
      <c r="E158" s="283" t="s">
        <v>0</v>
      </c>
      <c r="F158" s="283" t="s">
        <v>15</v>
      </c>
      <c r="G158" s="283" t="s">
        <v>14</v>
      </c>
      <c r="H158" s="283" t="s">
        <v>19</v>
      </c>
      <c r="I158" s="1012" t="s">
        <v>13</v>
      </c>
      <c r="J158" s="312"/>
      <c r="K158" s="32"/>
      <c r="L158" s="274"/>
      <c r="M158" s="275"/>
      <c r="O158" s="91"/>
      <c r="R158" s="108"/>
      <c r="S158" s="393"/>
    </row>
    <row r="159" spans="1:19" ht="24">
      <c r="A159" s="822"/>
      <c r="B159" s="887"/>
      <c r="C159" s="888"/>
      <c r="D159" s="860"/>
      <c r="E159" s="283" t="s">
        <v>1</v>
      </c>
      <c r="F159" s="283" t="s">
        <v>339</v>
      </c>
      <c r="G159" s="283" t="s">
        <v>18</v>
      </c>
      <c r="H159" s="283" t="s">
        <v>20</v>
      </c>
      <c r="I159" s="1012"/>
      <c r="J159" s="317"/>
      <c r="K159" s="32"/>
      <c r="L159" s="274"/>
      <c r="M159" s="275"/>
      <c r="O159" s="91"/>
      <c r="R159" s="108"/>
      <c r="S159" s="393"/>
    </row>
    <row r="160" spans="1:19" ht="2.25" customHeight="1">
      <c r="A160" s="822"/>
      <c r="B160" s="887"/>
      <c r="C160" s="888"/>
      <c r="D160" s="860"/>
      <c r="E160" s="285"/>
      <c r="F160" s="285"/>
      <c r="G160" s="285"/>
      <c r="H160" s="285"/>
      <c r="I160" s="285"/>
      <c r="J160" s="318"/>
      <c r="K160" s="32"/>
      <c r="L160" s="274"/>
      <c r="M160" s="275"/>
      <c r="O160" s="91"/>
      <c r="R160" s="108"/>
      <c r="S160" s="393"/>
    </row>
    <row r="161" spans="1:19" ht="12" customHeight="1">
      <c r="A161" s="822"/>
      <c r="B161" s="889" t="s">
        <v>475</v>
      </c>
      <c r="C161" s="890"/>
      <c r="D161" s="860"/>
      <c r="E161" s="764">
        <v>0</v>
      </c>
      <c r="F161" s="764"/>
      <c r="G161" s="764"/>
      <c r="H161" s="764"/>
      <c r="I161" s="764"/>
      <c r="J161" s="312"/>
      <c r="K161" s="32">
        <f>SUM(E161:I162)</f>
        <v>0</v>
      </c>
      <c r="L161" s="274"/>
      <c r="M161" s="275">
        <v>340</v>
      </c>
      <c r="O161" s="91"/>
      <c r="R161" s="108"/>
      <c r="S161" s="393"/>
    </row>
    <row r="162" spans="1:19" ht="12" customHeight="1">
      <c r="A162" s="823"/>
      <c r="B162" s="891"/>
      <c r="C162" s="892"/>
      <c r="D162" s="861"/>
      <c r="E162" s="765"/>
      <c r="F162" s="765"/>
      <c r="G162" s="765"/>
      <c r="H162" s="765"/>
      <c r="I162" s="765"/>
      <c r="J162" s="312"/>
      <c r="K162" s="32"/>
      <c r="L162" s="274"/>
      <c r="M162" s="275"/>
      <c r="O162" s="91"/>
      <c r="R162" s="108"/>
      <c r="S162" s="393"/>
    </row>
    <row r="163" spans="1:19" ht="12.75" customHeight="1">
      <c r="A163" s="785" t="s">
        <v>156</v>
      </c>
      <c r="B163" s="788" t="s">
        <v>121</v>
      </c>
      <c r="C163" s="789"/>
      <c r="D163" s="824" t="s">
        <v>324</v>
      </c>
      <c r="E163" s="827" t="s">
        <v>122</v>
      </c>
      <c r="F163" s="828"/>
      <c r="G163" s="828"/>
      <c r="H163" s="828"/>
      <c r="I163" s="829"/>
      <c r="J163" s="312"/>
      <c r="K163" s="32"/>
      <c r="L163" s="274"/>
      <c r="M163" s="275"/>
      <c r="O163" s="91"/>
      <c r="R163" s="108"/>
      <c r="S163" s="393"/>
    </row>
    <row r="164" spans="1:19" ht="12.75">
      <c r="A164" s="786"/>
      <c r="B164" s="790"/>
      <c r="C164" s="791"/>
      <c r="D164" s="825"/>
      <c r="E164" s="782" t="s">
        <v>129</v>
      </c>
      <c r="F164" s="784"/>
      <c r="G164" s="784"/>
      <c r="H164" s="784"/>
      <c r="I164" s="783"/>
      <c r="J164" s="312"/>
      <c r="K164" s="32"/>
      <c r="L164" s="274"/>
      <c r="M164" s="275"/>
      <c r="O164" s="91"/>
      <c r="R164" s="108"/>
      <c r="S164" s="393"/>
    </row>
    <row r="165" spans="1:19" ht="12.75">
      <c r="A165" s="787"/>
      <c r="B165" s="792"/>
      <c r="C165" s="793"/>
      <c r="D165" s="826"/>
      <c r="E165" s="11" t="s">
        <v>334</v>
      </c>
      <c r="F165" s="11" t="s">
        <v>269</v>
      </c>
      <c r="G165" s="11" t="s">
        <v>251</v>
      </c>
      <c r="H165" s="11" t="s">
        <v>54</v>
      </c>
      <c r="I165" s="11" t="s">
        <v>323</v>
      </c>
      <c r="J165" s="312"/>
      <c r="K165" s="32"/>
      <c r="L165" s="274"/>
      <c r="M165" s="275"/>
      <c r="O165" s="91"/>
      <c r="R165" s="108"/>
      <c r="S165" s="393"/>
    </row>
    <row r="166" spans="1:19" ht="12.75" customHeight="1">
      <c r="A166" s="821" t="s">
        <v>139</v>
      </c>
      <c r="B166" s="774" t="s">
        <v>599</v>
      </c>
      <c r="C166" s="775"/>
      <c r="D166" s="859" t="s">
        <v>615</v>
      </c>
      <c r="E166" s="273" t="s">
        <v>337</v>
      </c>
      <c r="F166" s="278" t="s">
        <v>253</v>
      </c>
      <c r="G166" s="273" t="s">
        <v>126</v>
      </c>
      <c r="H166" s="279" t="s">
        <v>127</v>
      </c>
      <c r="I166" s="279" t="s">
        <v>317</v>
      </c>
      <c r="J166" s="312"/>
      <c r="K166" s="32"/>
      <c r="L166" s="274"/>
      <c r="M166" s="275"/>
      <c r="O166" s="91"/>
      <c r="R166" s="108"/>
      <c r="S166" s="393"/>
    </row>
    <row r="167" spans="1:19" ht="12.75" customHeight="1">
      <c r="A167" s="822"/>
      <c r="B167" s="776"/>
      <c r="C167" s="777"/>
      <c r="D167" s="860"/>
      <c r="E167" s="276" t="s">
        <v>489</v>
      </c>
      <c r="F167" s="280" t="s">
        <v>125</v>
      </c>
      <c r="G167" s="276" t="s">
        <v>125</v>
      </c>
      <c r="H167" s="834" t="s">
        <v>125</v>
      </c>
      <c r="I167" s="834" t="s">
        <v>125</v>
      </c>
      <c r="J167" s="312"/>
      <c r="K167" s="32"/>
      <c r="L167" s="274"/>
      <c r="M167" s="275"/>
      <c r="O167" s="91"/>
      <c r="R167" s="108"/>
      <c r="S167" s="393"/>
    </row>
    <row r="168" spans="1:19" ht="3" customHeight="1">
      <c r="A168" s="822"/>
      <c r="B168" s="776"/>
      <c r="C168" s="777"/>
      <c r="D168" s="860"/>
      <c r="E168" s="276"/>
      <c r="F168" s="281"/>
      <c r="G168" s="282"/>
      <c r="H168" s="834"/>
      <c r="I168" s="834"/>
      <c r="J168" s="312"/>
      <c r="K168" s="32"/>
      <c r="L168" s="274"/>
      <c r="M168" s="275"/>
      <c r="O168" s="91"/>
      <c r="R168" s="108"/>
      <c r="S168" s="393"/>
    </row>
    <row r="169" spans="1:26" ht="23.25" customHeight="1">
      <c r="A169" s="822"/>
      <c r="B169" s="776"/>
      <c r="C169" s="777"/>
      <c r="D169" s="860"/>
      <c r="E169" s="284" t="s">
        <v>2</v>
      </c>
      <c r="F169" s="284" t="s">
        <v>3</v>
      </c>
      <c r="G169" s="284" t="s">
        <v>287</v>
      </c>
      <c r="H169" s="286" t="s">
        <v>4</v>
      </c>
      <c r="I169" s="286" t="s">
        <v>318</v>
      </c>
      <c r="J169" s="312"/>
      <c r="K169" s="32"/>
      <c r="L169" s="274"/>
      <c r="M169" s="275"/>
      <c r="O169" s="271"/>
      <c r="P169" s="19"/>
      <c r="Q169" s="19"/>
      <c r="R169" s="182"/>
      <c r="S169" s="393"/>
      <c r="T169" s="19"/>
      <c r="U169" s="19"/>
      <c r="V169" s="19"/>
      <c r="W169" s="19"/>
      <c r="X169" s="19"/>
      <c r="Y169" s="19"/>
      <c r="Z169" s="19"/>
    </row>
    <row r="170" spans="1:26" ht="24" customHeight="1">
      <c r="A170" s="822"/>
      <c r="B170" s="776"/>
      <c r="C170" s="777"/>
      <c r="D170" s="860"/>
      <c r="E170" s="284" t="s">
        <v>5</v>
      </c>
      <c r="F170" s="284" t="s">
        <v>288</v>
      </c>
      <c r="G170" s="284" t="s">
        <v>289</v>
      </c>
      <c r="H170" s="286" t="s">
        <v>6</v>
      </c>
      <c r="I170" s="286" t="s">
        <v>319</v>
      </c>
      <c r="J170" s="312"/>
      <c r="K170" s="32"/>
      <c r="L170" s="274"/>
      <c r="M170" s="275"/>
      <c r="N170" s="3"/>
      <c r="O170" s="271"/>
      <c r="P170" s="19"/>
      <c r="Q170" s="19"/>
      <c r="R170" s="182"/>
      <c r="S170" s="393"/>
      <c r="Y170" s="19"/>
      <c r="Z170" s="19"/>
    </row>
    <row r="171" spans="1:19" ht="25.5" customHeight="1">
      <c r="A171" s="822"/>
      <c r="B171" s="776"/>
      <c r="C171" s="777"/>
      <c r="D171" s="860"/>
      <c r="E171" s="284" t="s">
        <v>58</v>
      </c>
      <c r="F171" s="284" t="s">
        <v>257</v>
      </c>
      <c r="G171" s="284" t="s">
        <v>167</v>
      </c>
      <c r="H171" s="286" t="s">
        <v>7</v>
      </c>
      <c r="I171" s="286" t="s">
        <v>23</v>
      </c>
      <c r="J171" s="318"/>
      <c r="K171" s="32"/>
      <c r="L171" s="274"/>
      <c r="M171" s="275"/>
      <c r="N171" s="3"/>
      <c r="R171" s="3"/>
      <c r="S171" s="393"/>
    </row>
    <row r="172" spans="1:19" ht="22.5" customHeight="1">
      <c r="A172" s="822"/>
      <c r="B172" s="776"/>
      <c r="C172" s="777"/>
      <c r="D172" s="860"/>
      <c r="E172" s="285"/>
      <c r="F172" s="285"/>
      <c r="G172" s="285"/>
      <c r="H172" s="285"/>
      <c r="I172" s="289"/>
      <c r="J172" s="318"/>
      <c r="L172" s="274"/>
      <c r="M172" s="275"/>
      <c r="N172" s="3"/>
      <c r="R172" s="3"/>
      <c r="S172" s="393"/>
    </row>
    <row r="173" spans="1:19" ht="12" customHeight="1">
      <c r="A173" s="822"/>
      <c r="B173" s="776"/>
      <c r="C173" s="777"/>
      <c r="D173" s="860"/>
      <c r="E173" s="764">
        <v>0</v>
      </c>
      <c r="F173" s="764"/>
      <c r="G173" s="764"/>
      <c r="H173" s="764"/>
      <c r="I173" s="764"/>
      <c r="J173" s="318"/>
      <c r="K173" s="32">
        <f>SUM(E173:I174)</f>
        <v>0</v>
      </c>
      <c r="L173" s="274">
        <v>340</v>
      </c>
      <c r="M173" s="272"/>
      <c r="N173" s="3"/>
      <c r="R173" s="3"/>
      <c r="S173" s="393"/>
    </row>
    <row r="174" spans="1:19" ht="12" customHeight="1">
      <c r="A174" s="823"/>
      <c r="B174" s="768" t="s">
        <v>475</v>
      </c>
      <c r="C174" s="769"/>
      <c r="D174" s="861"/>
      <c r="E174" s="765"/>
      <c r="F174" s="765"/>
      <c r="G174" s="765"/>
      <c r="H174" s="765"/>
      <c r="I174" s="765"/>
      <c r="J174" s="318"/>
      <c r="K174" s="32"/>
      <c r="L174" s="274"/>
      <c r="M174" s="272"/>
      <c r="N174" s="3"/>
      <c r="R174" s="3"/>
      <c r="S174" s="393"/>
    </row>
    <row r="175" spans="1:19" ht="12.75" customHeight="1">
      <c r="A175" s="785" t="s">
        <v>156</v>
      </c>
      <c r="B175" s="788" t="s">
        <v>121</v>
      </c>
      <c r="C175" s="815"/>
      <c r="D175" s="794" t="s">
        <v>140</v>
      </c>
      <c r="E175" s="818"/>
      <c r="F175" s="800" t="s">
        <v>122</v>
      </c>
      <c r="G175" s="852"/>
      <c r="H175" s="852"/>
      <c r="I175" s="853"/>
      <c r="J175" s="318"/>
      <c r="K175" s="258"/>
      <c r="L175" s="274"/>
      <c r="M175" s="272"/>
      <c r="N175" s="3"/>
      <c r="R175" s="3"/>
      <c r="S175" s="393"/>
    </row>
    <row r="176" spans="1:19" ht="3" customHeight="1">
      <c r="A176" s="786"/>
      <c r="B176" s="790"/>
      <c r="C176" s="816"/>
      <c r="D176" s="796"/>
      <c r="E176" s="819"/>
      <c r="F176" s="782"/>
      <c r="G176" s="784"/>
      <c r="H176" s="784"/>
      <c r="I176" s="783"/>
      <c r="J176" s="318"/>
      <c r="K176" s="258"/>
      <c r="L176" s="274"/>
      <c r="M176" s="272"/>
      <c r="N176" s="3"/>
      <c r="R176" s="3"/>
      <c r="S176" s="393"/>
    </row>
    <row r="177" spans="1:19" ht="12" customHeight="1">
      <c r="A177" s="787"/>
      <c r="B177" s="792"/>
      <c r="C177" s="817"/>
      <c r="D177" s="798"/>
      <c r="E177" s="820"/>
      <c r="F177" s="903">
        <v>0</v>
      </c>
      <c r="G177" s="902"/>
      <c r="H177" s="903">
        <v>300</v>
      </c>
      <c r="I177" s="902"/>
      <c r="J177" s="318"/>
      <c r="K177" s="258"/>
      <c r="L177" s="274"/>
      <c r="M177" s="272"/>
      <c r="N177" s="3"/>
      <c r="R177" s="3"/>
      <c r="S177" s="393"/>
    </row>
    <row r="178" spans="1:19" ht="12.75">
      <c r="A178" s="806" t="s">
        <v>397</v>
      </c>
      <c r="B178" s="774" t="s">
        <v>394</v>
      </c>
      <c r="C178" s="775"/>
      <c r="D178" s="778" t="s">
        <v>616</v>
      </c>
      <c r="E178" s="809"/>
      <c r="F178" s="758" t="s">
        <v>229</v>
      </c>
      <c r="G178" s="759"/>
      <c r="H178" s="758" t="s">
        <v>348</v>
      </c>
      <c r="I178" s="759"/>
      <c r="J178" s="318"/>
      <c r="K178" s="258"/>
      <c r="L178" s="274"/>
      <c r="M178" s="272"/>
      <c r="N178" s="3"/>
      <c r="R178" s="3"/>
      <c r="S178" s="393"/>
    </row>
    <row r="179" spans="1:19" ht="12.75" customHeight="1">
      <c r="A179" s="807"/>
      <c r="B179" s="776"/>
      <c r="C179" s="777"/>
      <c r="D179" s="780"/>
      <c r="E179" s="810"/>
      <c r="F179" s="760"/>
      <c r="G179" s="761"/>
      <c r="H179" s="760"/>
      <c r="I179" s="761"/>
      <c r="J179" s="312"/>
      <c r="K179" s="258"/>
      <c r="L179" s="274"/>
      <c r="M179" s="272"/>
      <c r="N179" s="3"/>
      <c r="R179" s="3"/>
      <c r="S179" s="393"/>
    </row>
    <row r="180" spans="1:19" ht="12.75" customHeight="1">
      <c r="A180" s="807"/>
      <c r="B180" s="776"/>
      <c r="C180" s="777"/>
      <c r="D180" s="780"/>
      <c r="E180" s="810"/>
      <c r="F180" s="760"/>
      <c r="G180" s="761"/>
      <c r="H180" s="760"/>
      <c r="I180" s="761"/>
      <c r="J180" s="312"/>
      <c r="K180" s="258"/>
      <c r="L180" s="274"/>
      <c r="M180" s="272"/>
      <c r="N180" s="3"/>
      <c r="R180" s="3"/>
      <c r="S180" s="393"/>
    </row>
    <row r="181" spans="1:19" ht="14.25" customHeight="1">
      <c r="A181" s="807"/>
      <c r="B181" s="776"/>
      <c r="C181" s="777"/>
      <c r="D181" s="780"/>
      <c r="E181" s="810"/>
      <c r="F181" s="760"/>
      <c r="G181" s="761"/>
      <c r="H181" s="760"/>
      <c r="I181" s="761"/>
      <c r="J181" s="316"/>
      <c r="K181" s="258"/>
      <c r="L181" s="274"/>
      <c r="M181" s="272"/>
      <c r="R181" s="290"/>
      <c r="S181" s="393"/>
    </row>
    <row r="182" spans="1:19" ht="1.5" customHeight="1">
      <c r="A182" s="807"/>
      <c r="B182" s="776"/>
      <c r="C182" s="777"/>
      <c r="D182" s="780"/>
      <c r="E182" s="810"/>
      <c r="F182" s="762"/>
      <c r="G182" s="763"/>
      <c r="H182" s="762"/>
      <c r="I182" s="763"/>
      <c r="J182" s="312"/>
      <c r="K182" s="258"/>
      <c r="L182" s="274"/>
      <c r="M182" s="272"/>
      <c r="R182" s="290"/>
      <c r="S182" s="393"/>
    </row>
    <row r="183" spans="1:19" ht="12.75">
      <c r="A183" s="807"/>
      <c r="B183" s="766" t="s">
        <v>475</v>
      </c>
      <c r="C183" s="767"/>
      <c r="D183" s="780"/>
      <c r="E183" s="810"/>
      <c r="F183" s="811">
        <f>IF(AND(H183=""),IF(fio="","",0),"")</f>
      </c>
      <c r="G183" s="812"/>
      <c r="H183" s="770"/>
      <c r="I183" s="771"/>
      <c r="J183" s="312"/>
      <c r="K183" s="32">
        <f>SUM(F183:I184)</f>
        <v>0</v>
      </c>
      <c r="L183" s="274"/>
      <c r="M183" s="272">
        <v>300</v>
      </c>
      <c r="R183" s="290"/>
      <c r="S183" s="393"/>
    </row>
    <row r="184" spans="1:19" ht="12.75">
      <c r="A184" s="808"/>
      <c r="B184" s="768"/>
      <c r="C184" s="769"/>
      <c r="D184" s="782"/>
      <c r="E184" s="784"/>
      <c r="F184" s="813"/>
      <c r="G184" s="814"/>
      <c r="H184" s="772"/>
      <c r="I184" s="773"/>
      <c r="J184" s="312"/>
      <c r="K184" s="32"/>
      <c r="L184" s="274"/>
      <c r="M184" s="272"/>
      <c r="R184" s="290"/>
      <c r="S184" s="393"/>
    </row>
    <row r="185" spans="1:19" ht="14.25">
      <c r="A185" s="785" t="s">
        <v>156</v>
      </c>
      <c r="B185" s="788" t="s">
        <v>121</v>
      </c>
      <c r="C185" s="789"/>
      <c r="D185" s="794" t="s">
        <v>140</v>
      </c>
      <c r="E185" s="795"/>
      <c r="F185" s="800" t="s">
        <v>122</v>
      </c>
      <c r="G185" s="801"/>
      <c r="H185" s="801"/>
      <c r="I185" s="802"/>
      <c r="J185" s="312"/>
      <c r="L185" s="274"/>
      <c r="M185" s="272"/>
      <c r="O185" s="54"/>
      <c r="P185" s="55"/>
      <c r="R185" s="290"/>
      <c r="S185" s="393"/>
    </row>
    <row r="186" spans="1:19" ht="12.75">
      <c r="A186" s="786"/>
      <c r="B186" s="790"/>
      <c r="C186" s="791"/>
      <c r="D186" s="796"/>
      <c r="E186" s="797"/>
      <c r="F186" s="803" t="s">
        <v>33</v>
      </c>
      <c r="G186" s="804"/>
      <c r="H186" s="804"/>
      <c r="I186" s="805"/>
      <c r="J186" s="312"/>
      <c r="L186" s="274"/>
      <c r="M186" s="272"/>
      <c r="O186" s="54"/>
      <c r="P186" s="55"/>
      <c r="R186" s="290"/>
      <c r="S186" s="393"/>
    </row>
    <row r="187" spans="1:19" ht="12.75">
      <c r="A187" s="787"/>
      <c r="B187" s="792"/>
      <c r="C187" s="793"/>
      <c r="D187" s="798"/>
      <c r="E187" s="799"/>
      <c r="F187" s="10">
        <v>0</v>
      </c>
      <c r="G187" s="287" t="s">
        <v>25</v>
      </c>
      <c r="H187" s="2" t="s">
        <v>269</v>
      </c>
      <c r="I187" s="2" t="s">
        <v>251</v>
      </c>
      <c r="J187" s="312"/>
      <c r="L187" s="274"/>
      <c r="M187" s="272"/>
      <c r="O187" s="54"/>
      <c r="P187" s="55"/>
      <c r="R187" s="290"/>
      <c r="S187" s="393"/>
    </row>
    <row r="188" spans="1:19" ht="12.75">
      <c r="A188" s="753" t="s">
        <v>398</v>
      </c>
      <c r="B188" s="774" t="s">
        <v>409</v>
      </c>
      <c r="C188" s="775"/>
      <c r="D188" s="778" t="s">
        <v>617</v>
      </c>
      <c r="E188" s="779"/>
      <c r="F188" s="13" t="s">
        <v>229</v>
      </c>
      <c r="G188" s="16" t="s">
        <v>26</v>
      </c>
      <c r="H188" s="13" t="s">
        <v>126</v>
      </c>
      <c r="I188" s="17" t="s">
        <v>127</v>
      </c>
      <c r="J188" s="312"/>
      <c r="L188" s="274"/>
      <c r="M188" s="272"/>
      <c r="R188" s="290"/>
      <c r="S188" s="393"/>
    </row>
    <row r="189" spans="1:19" ht="12.75">
      <c r="A189" s="754"/>
      <c r="B189" s="776"/>
      <c r="C189" s="777"/>
      <c r="D189" s="780"/>
      <c r="E189" s="781"/>
      <c r="F189" s="288"/>
      <c r="G189" s="16" t="s">
        <v>125</v>
      </c>
      <c r="H189" s="14" t="s">
        <v>125</v>
      </c>
      <c r="I189" s="14" t="s">
        <v>125</v>
      </c>
      <c r="J189" s="312"/>
      <c r="L189" s="274"/>
      <c r="M189" s="272"/>
      <c r="R189" s="290"/>
      <c r="S189" s="393"/>
    </row>
    <row r="190" spans="1:19" ht="4.5" customHeight="1">
      <c r="A190" s="754"/>
      <c r="B190" s="776"/>
      <c r="C190" s="777"/>
      <c r="D190" s="780"/>
      <c r="E190" s="781"/>
      <c r="F190" s="288"/>
      <c r="G190" s="16"/>
      <c r="H190" s="14"/>
      <c r="I190" s="14"/>
      <c r="J190" s="312"/>
      <c r="L190" s="274"/>
      <c r="M190" s="272"/>
      <c r="R190" s="290"/>
      <c r="S190" s="393"/>
    </row>
    <row r="191" spans="1:19" s="146" customFormat="1" ht="36.75" customHeight="1">
      <c r="A191" s="754"/>
      <c r="B191" s="776"/>
      <c r="C191" s="777"/>
      <c r="D191" s="780"/>
      <c r="E191" s="781"/>
      <c r="F191" s="73"/>
      <c r="G191" s="52" t="s">
        <v>30</v>
      </c>
      <c r="H191" s="52" t="s">
        <v>31</v>
      </c>
      <c r="I191" s="51" t="s">
        <v>32</v>
      </c>
      <c r="J191" s="315"/>
      <c r="K191" s="153"/>
      <c r="L191" s="274"/>
      <c r="M191" s="272"/>
      <c r="N191" s="158"/>
      <c r="R191" s="292"/>
      <c r="S191" s="393"/>
    </row>
    <row r="192" spans="1:19" ht="12" customHeight="1">
      <c r="A192" s="754"/>
      <c r="B192" s="766" t="s">
        <v>475</v>
      </c>
      <c r="C192" s="767"/>
      <c r="D192" s="780"/>
      <c r="E192" s="781"/>
      <c r="F192" s="756">
        <f>IF(AND(G192="",H192="",I192=""),IF(fio="","",0),"")</f>
      </c>
      <c r="G192" s="764"/>
      <c r="H192" s="764"/>
      <c r="I192" s="764"/>
      <c r="J192" s="312"/>
      <c r="K192" s="153">
        <f>SUM(F192:I193)</f>
        <v>0</v>
      </c>
      <c r="L192" s="274">
        <v>300</v>
      </c>
      <c r="M192" s="272"/>
      <c r="O192" s="91"/>
      <c r="R192" s="108"/>
      <c r="S192" s="393"/>
    </row>
    <row r="193" spans="1:19" ht="12" customHeight="1">
      <c r="A193" s="755"/>
      <c r="B193" s="768"/>
      <c r="C193" s="769"/>
      <c r="D193" s="782"/>
      <c r="E193" s="783"/>
      <c r="F193" s="757"/>
      <c r="G193" s="765"/>
      <c r="H193" s="765"/>
      <c r="I193" s="765"/>
      <c r="J193" s="312"/>
      <c r="L193" s="274"/>
      <c r="M193" s="272"/>
      <c r="O193" s="91"/>
      <c r="R193" s="108"/>
      <c r="S193" s="393"/>
    </row>
    <row r="194" spans="1:19" ht="4.5" customHeight="1">
      <c r="A194" s="16"/>
      <c r="B194" s="255"/>
      <c r="C194" s="255"/>
      <c r="D194" s="163"/>
      <c r="E194" s="164"/>
      <c r="F194" s="172"/>
      <c r="G194" s="172"/>
      <c r="H194" s="172"/>
      <c r="I194" s="172"/>
      <c r="J194" s="312"/>
      <c r="L194" s="160"/>
      <c r="M194" s="161"/>
      <c r="O194" s="91"/>
      <c r="R194" s="108"/>
      <c r="S194" s="393"/>
    </row>
    <row r="195" spans="1:20" s="146" customFormat="1" ht="12.75" customHeight="1">
      <c r="A195" s="571" t="s">
        <v>137</v>
      </c>
      <c r="B195" s="571"/>
      <c r="C195" s="571"/>
      <c r="D195" s="53"/>
      <c r="E195" s="256"/>
      <c r="F195" s="257"/>
      <c r="G195" s="257"/>
      <c r="H195" s="257"/>
      <c r="I195" s="257"/>
      <c r="J195" s="573"/>
      <c r="K195" s="348"/>
      <c r="L195" s="348"/>
      <c r="M195" s="348"/>
      <c r="N195" s="348"/>
      <c r="O195" s="271"/>
      <c r="P195" s="574"/>
      <c r="Q195" s="574"/>
      <c r="R195" s="575"/>
      <c r="S195" s="389"/>
      <c r="T195" s="574"/>
    </row>
    <row r="196" spans="1:19" ht="12.75" customHeight="1">
      <c r="A196" s="613" t="s">
        <v>156</v>
      </c>
      <c r="B196" s="788" t="s">
        <v>121</v>
      </c>
      <c r="C196" s="815"/>
      <c r="D196" s="789"/>
      <c r="E196" s="895" t="s">
        <v>122</v>
      </c>
      <c r="F196" s="896"/>
      <c r="G196" s="896"/>
      <c r="H196" s="896"/>
      <c r="I196" s="897"/>
      <c r="J196" s="312"/>
      <c r="K196" s="32"/>
      <c r="L196" s="274"/>
      <c r="M196" s="275"/>
      <c r="N196" s="3"/>
      <c r="R196" s="108"/>
      <c r="S196" s="393"/>
    </row>
    <row r="197" spans="1:19" ht="12.75" customHeight="1">
      <c r="A197" s="614"/>
      <c r="B197" s="790"/>
      <c r="C197" s="816"/>
      <c r="D197" s="791"/>
      <c r="E197" s="898" t="s">
        <v>231</v>
      </c>
      <c r="F197" s="899"/>
      <c r="G197" s="899"/>
      <c r="H197" s="899"/>
      <c r="I197" s="900"/>
      <c r="J197" s="312"/>
      <c r="K197" s="32"/>
      <c r="L197" s="274"/>
      <c r="M197" s="275"/>
      <c r="N197" s="3"/>
      <c r="R197" s="108"/>
      <c r="S197" s="393"/>
    </row>
    <row r="198" spans="1:19" ht="12.75" customHeight="1">
      <c r="A198" s="615"/>
      <c r="B198" s="792"/>
      <c r="C198" s="817"/>
      <c r="D198" s="793"/>
      <c r="E198" s="263">
        <v>0</v>
      </c>
      <c r="F198" s="901" t="s">
        <v>387</v>
      </c>
      <c r="G198" s="902"/>
      <c r="H198" s="901" t="s">
        <v>55</v>
      </c>
      <c r="I198" s="902"/>
      <c r="J198" s="312"/>
      <c r="K198" s="32"/>
      <c r="L198" s="274"/>
      <c r="M198" s="275"/>
      <c r="N198" s="3"/>
      <c r="R198" s="108"/>
      <c r="S198" s="393"/>
    </row>
    <row r="199" spans="1:19" ht="46.5" customHeight="1">
      <c r="A199" s="616" t="s">
        <v>399</v>
      </c>
      <c r="B199" s="728" t="s">
        <v>649</v>
      </c>
      <c r="C199" s="729"/>
      <c r="D199" s="730"/>
      <c r="E199" s="277" t="s">
        <v>513</v>
      </c>
      <c r="F199" s="752" t="s">
        <v>600</v>
      </c>
      <c r="G199" s="752"/>
      <c r="H199" s="752" t="s">
        <v>601</v>
      </c>
      <c r="I199" s="752"/>
      <c r="J199" s="312"/>
      <c r="K199" s="32"/>
      <c r="L199" s="274"/>
      <c r="M199" s="275"/>
      <c r="N199" s="3"/>
      <c r="O199" s="590"/>
      <c r="R199" s="108"/>
      <c r="S199" s="393"/>
    </row>
    <row r="200" spans="1:19" ht="12.75" customHeight="1">
      <c r="A200" s="617"/>
      <c r="B200" s="749" t="s">
        <v>602</v>
      </c>
      <c r="C200" s="750"/>
      <c r="D200" s="751"/>
      <c r="E200" s="743">
        <f>IF(AND(F200="",H200=""),IF(fio="","",0),"")</f>
      </c>
      <c r="F200" s="721"/>
      <c r="G200" s="722"/>
      <c r="H200" s="721"/>
      <c r="I200" s="722"/>
      <c r="J200" s="312"/>
      <c r="K200" s="32">
        <f>MAX(E200:I201)</f>
        <v>0</v>
      </c>
      <c r="L200" s="274">
        <v>100</v>
      </c>
      <c r="M200" s="275"/>
      <c r="N200" s="3"/>
      <c r="O200" s="590"/>
      <c r="R200" s="108"/>
      <c r="S200" s="393"/>
    </row>
    <row r="201" spans="1:19" ht="12.75" customHeight="1">
      <c r="A201" s="618"/>
      <c r="B201" s="746"/>
      <c r="C201" s="747"/>
      <c r="D201" s="748"/>
      <c r="E201" s="744"/>
      <c r="F201" s="723"/>
      <c r="G201" s="724"/>
      <c r="H201" s="723"/>
      <c r="I201" s="724"/>
      <c r="J201" s="312"/>
      <c r="K201" s="32"/>
      <c r="L201" s="274"/>
      <c r="M201" s="275"/>
      <c r="N201" s="3"/>
      <c r="O201" s="590"/>
      <c r="R201" s="108"/>
      <c r="S201" s="393"/>
    </row>
    <row r="202" spans="1:19" ht="90.75" customHeight="1">
      <c r="A202" s="616" t="s">
        <v>400</v>
      </c>
      <c r="B202" s="728" t="s">
        <v>650</v>
      </c>
      <c r="C202" s="729"/>
      <c r="D202" s="730"/>
      <c r="E202" s="277" t="s">
        <v>513</v>
      </c>
      <c r="F202" s="752" t="s">
        <v>600</v>
      </c>
      <c r="G202" s="752"/>
      <c r="H202" s="752" t="s">
        <v>601</v>
      </c>
      <c r="I202" s="752"/>
      <c r="J202" s="312"/>
      <c r="K202" s="32"/>
      <c r="L202" s="274"/>
      <c r="M202" s="275"/>
      <c r="N202" s="3"/>
      <c r="O202" s="590"/>
      <c r="R202" s="108"/>
      <c r="S202" s="393"/>
    </row>
    <row r="203" spans="1:19" ht="12.75" customHeight="1">
      <c r="A203" s="617"/>
      <c r="B203" s="749" t="s">
        <v>602</v>
      </c>
      <c r="C203" s="750"/>
      <c r="D203" s="751"/>
      <c r="E203" s="743">
        <f>IF(AND(F203="",H203=""),IF(fio="","",0),"")</f>
      </c>
      <c r="F203" s="721"/>
      <c r="G203" s="722"/>
      <c r="H203" s="721"/>
      <c r="I203" s="722"/>
      <c r="J203" s="312"/>
      <c r="K203" s="32">
        <f>MAX(E203:I204)</f>
        <v>0</v>
      </c>
      <c r="L203" s="274">
        <v>100</v>
      </c>
      <c r="M203" s="275"/>
      <c r="N203" s="3"/>
      <c r="O203" s="590"/>
      <c r="R203" s="108"/>
      <c r="S203" s="393"/>
    </row>
    <row r="204" spans="1:19" ht="12.75" customHeight="1">
      <c r="A204" s="618"/>
      <c r="B204" s="746"/>
      <c r="C204" s="747"/>
      <c r="D204" s="748"/>
      <c r="E204" s="744"/>
      <c r="F204" s="723"/>
      <c r="G204" s="724"/>
      <c r="H204" s="723"/>
      <c r="I204" s="724"/>
      <c r="J204" s="312"/>
      <c r="K204" s="32"/>
      <c r="L204" s="274"/>
      <c r="M204" s="275"/>
      <c r="N204" s="3"/>
      <c r="O204" s="590"/>
      <c r="R204" s="108"/>
      <c r="S204" s="393"/>
    </row>
    <row r="205" spans="1:19" ht="30" customHeight="1">
      <c r="A205" s="619" t="s">
        <v>401</v>
      </c>
      <c r="B205" s="728" t="s">
        <v>402</v>
      </c>
      <c r="C205" s="729"/>
      <c r="D205" s="730"/>
      <c r="E205" s="277" t="s">
        <v>513</v>
      </c>
      <c r="F205" s="752" t="s">
        <v>600</v>
      </c>
      <c r="G205" s="752"/>
      <c r="H205" s="752" t="s">
        <v>514</v>
      </c>
      <c r="I205" s="752"/>
      <c r="J205" s="312"/>
      <c r="K205" s="32"/>
      <c r="L205" s="274"/>
      <c r="M205" s="275"/>
      <c r="O205" s="91"/>
      <c r="R205" s="108"/>
      <c r="S205" s="393"/>
    </row>
    <row r="206" spans="1:19" ht="12" customHeight="1">
      <c r="A206" s="620"/>
      <c r="B206" s="749" t="s">
        <v>475</v>
      </c>
      <c r="C206" s="750"/>
      <c r="D206" s="751"/>
      <c r="E206" s="743">
        <f>IF(AND(F206="",H206=""),IF(fio="","",0),"")</f>
      </c>
      <c r="F206" s="721"/>
      <c r="G206" s="722"/>
      <c r="H206" s="721"/>
      <c r="I206" s="722"/>
      <c r="J206" s="312"/>
      <c r="K206" s="32">
        <f>MAX(E206:I207)</f>
        <v>0</v>
      </c>
      <c r="L206" s="274">
        <v>100</v>
      </c>
      <c r="M206" s="275"/>
      <c r="O206" s="91"/>
      <c r="R206" s="108"/>
      <c r="S206" s="393"/>
    </row>
    <row r="207" spans="1:19" ht="12.75">
      <c r="A207" s="621"/>
      <c r="B207" s="746"/>
      <c r="C207" s="747"/>
      <c r="D207" s="748"/>
      <c r="E207" s="744"/>
      <c r="F207" s="723"/>
      <c r="G207" s="724"/>
      <c r="H207" s="723"/>
      <c r="I207" s="724"/>
      <c r="J207" s="312"/>
      <c r="K207" s="32"/>
      <c r="L207" s="274"/>
      <c r="M207" s="275"/>
      <c r="O207" s="91"/>
      <c r="R207" s="108"/>
      <c r="S207" s="393"/>
    </row>
    <row r="208" spans="1:20" ht="61.5" customHeight="1">
      <c r="A208" s="619" t="s">
        <v>603</v>
      </c>
      <c r="B208" s="728" t="s">
        <v>651</v>
      </c>
      <c r="C208" s="729"/>
      <c r="D208" s="730"/>
      <c r="E208" s="734" t="s">
        <v>513</v>
      </c>
      <c r="F208" s="737" t="s">
        <v>600</v>
      </c>
      <c r="G208" s="738"/>
      <c r="H208" s="737" t="s">
        <v>514</v>
      </c>
      <c r="I208" s="738"/>
      <c r="J208" s="312"/>
      <c r="K208" s="32"/>
      <c r="L208" s="274"/>
      <c r="M208" s="275"/>
      <c r="O208" s="91"/>
      <c r="R208" s="108"/>
      <c r="S208" s="393"/>
      <c r="T208" s="612"/>
    </row>
    <row r="209" spans="1:20" ht="13.5">
      <c r="A209" s="620"/>
      <c r="B209" s="1046" t="s">
        <v>652</v>
      </c>
      <c r="C209" s="1047"/>
      <c r="D209" s="1048"/>
      <c r="E209" s="736"/>
      <c r="F209" s="741"/>
      <c r="G209" s="742"/>
      <c r="H209" s="741"/>
      <c r="I209" s="742"/>
      <c r="J209" s="312"/>
      <c r="K209" s="32"/>
      <c r="L209" s="274"/>
      <c r="M209" s="275"/>
      <c r="O209" s="91"/>
      <c r="R209" s="108"/>
      <c r="S209" s="393"/>
      <c r="T209" s="612"/>
    </row>
    <row r="210" spans="1:19" ht="12.75">
      <c r="A210" s="620"/>
      <c r="B210" s="749" t="s">
        <v>653</v>
      </c>
      <c r="C210" s="750"/>
      <c r="D210" s="751"/>
      <c r="E210" s="743">
        <f>IF(AND(F210="",H210=""),IF(fio="","",0),"")</f>
      </c>
      <c r="F210" s="721"/>
      <c r="G210" s="722"/>
      <c r="H210" s="721"/>
      <c r="I210" s="722"/>
      <c r="J210" s="312"/>
      <c r="K210" s="32">
        <f>MAX(E210:I211)</f>
        <v>0</v>
      </c>
      <c r="L210" s="274">
        <v>100</v>
      </c>
      <c r="M210" s="275"/>
      <c r="O210" s="91"/>
      <c r="R210" s="108"/>
      <c r="S210" s="393"/>
    </row>
    <row r="211" spans="1:19" ht="12.75">
      <c r="A211" s="621"/>
      <c r="B211" s="746"/>
      <c r="C211" s="747"/>
      <c r="D211" s="748"/>
      <c r="E211" s="744"/>
      <c r="F211" s="723"/>
      <c r="G211" s="724"/>
      <c r="H211" s="723"/>
      <c r="I211" s="724"/>
      <c r="J211" s="312"/>
      <c r="K211" s="32"/>
      <c r="L211" s="274"/>
      <c r="M211" s="275"/>
      <c r="O211" s="91"/>
      <c r="R211" s="108"/>
      <c r="S211" s="393"/>
    </row>
    <row r="212" spans="1:19" ht="14.25" customHeight="1">
      <c r="A212" s="725" t="s">
        <v>604</v>
      </c>
      <c r="B212" s="728" t="s">
        <v>408</v>
      </c>
      <c r="C212" s="729"/>
      <c r="D212" s="730"/>
      <c r="E212" s="734" t="s">
        <v>27</v>
      </c>
      <c r="F212" s="737" t="s">
        <v>28</v>
      </c>
      <c r="G212" s="738"/>
      <c r="H212" s="737" t="s">
        <v>29</v>
      </c>
      <c r="I212" s="738"/>
      <c r="J212" s="312"/>
      <c r="K212" s="32"/>
      <c r="L212" s="274"/>
      <c r="M212" s="275"/>
      <c r="O212" s="91"/>
      <c r="R212" s="108"/>
      <c r="S212" s="393"/>
    </row>
    <row r="213" spans="1:19" ht="15.75" customHeight="1">
      <c r="A213" s="726"/>
      <c r="B213" s="731"/>
      <c r="C213" s="732"/>
      <c r="D213" s="733"/>
      <c r="E213" s="735"/>
      <c r="F213" s="739"/>
      <c r="G213" s="740"/>
      <c r="H213" s="739"/>
      <c r="I213" s="740"/>
      <c r="J213" s="312"/>
      <c r="K213" s="32"/>
      <c r="L213" s="274"/>
      <c r="M213" s="275"/>
      <c r="O213" s="91"/>
      <c r="R213" s="108"/>
      <c r="S213" s="393"/>
    </row>
    <row r="214" spans="1:19" ht="15.75" customHeight="1">
      <c r="A214" s="726"/>
      <c r="B214" s="749" t="s">
        <v>475</v>
      </c>
      <c r="C214" s="750"/>
      <c r="D214" s="751"/>
      <c r="E214" s="735"/>
      <c r="F214" s="739"/>
      <c r="G214" s="740"/>
      <c r="H214" s="739"/>
      <c r="I214" s="740"/>
      <c r="J214" s="312"/>
      <c r="K214" s="32"/>
      <c r="L214" s="274"/>
      <c r="M214" s="275"/>
      <c r="O214" s="91"/>
      <c r="R214" s="108"/>
      <c r="S214" s="393"/>
    </row>
    <row r="215" spans="1:19" ht="2.25" customHeight="1">
      <c r="A215" s="726"/>
      <c r="B215" s="749"/>
      <c r="C215" s="750"/>
      <c r="D215" s="751"/>
      <c r="E215" s="735"/>
      <c r="F215" s="739"/>
      <c r="G215" s="740"/>
      <c r="H215" s="739"/>
      <c r="I215" s="740"/>
      <c r="J215" s="312"/>
      <c r="K215" s="32"/>
      <c r="L215" s="274"/>
      <c r="M215" s="275"/>
      <c r="O215" s="91"/>
      <c r="R215" s="108"/>
      <c r="S215" s="393"/>
    </row>
    <row r="216" spans="1:19" ht="2.25" customHeight="1">
      <c r="A216" s="726"/>
      <c r="B216" s="749"/>
      <c r="C216" s="750"/>
      <c r="D216" s="751"/>
      <c r="E216" s="736"/>
      <c r="F216" s="741"/>
      <c r="G216" s="742"/>
      <c r="H216" s="741"/>
      <c r="I216" s="742"/>
      <c r="J216" s="312"/>
      <c r="K216" s="32"/>
      <c r="L216" s="274"/>
      <c r="M216" s="275"/>
      <c r="O216" s="91"/>
      <c r="R216" s="108"/>
      <c r="S216" s="393"/>
    </row>
    <row r="217" spans="1:19" ht="12.75" customHeight="1">
      <c r="A217" s="726"/>
      <c r="B217" s="749"/>
      <c r="C217" s="750"/>
      <c r="D217" s="751"/>
      <c r="E217" s="743">
        <f>IF(AND(F217="",H217=""),IF(fio="","",0),"")</f>
      </c>
      <c r="F217" s="721"/>
      <c r="G217" s="722"/>
      <c r="H217" s="721"/>
      <c r="I217" s="722"/>
      <c r="J217" s="312"/>
      <c r="K217" s="32">
        <f>MAX(E217:I218)</f>
        <v>0</v>
      </c>
      <c r="L217" s="274">
        <v>100</v>
      </c>
      <c r="M217" s="275"/>
      <c r="O217" s="91"/>
      <c r="R217" s="108"/>
      <c r="S217" s="393"/>
    </row>
    <row r="218" spans="1:19" ht="12.75" customHeight="1">
      <c r="A218" s="727"/>
      <c r="B218" s="746"/>
      <c r="C218" s="747"/>
      <c r="D218" s="748"/>
      <c r="E218" s="744"/>
      <c r="F218" s="723"/>
      <c r="G218" s="724"/>
      <c r="H218" s="723"/>
      <c r="I218" s="724"/>
      <c r="J218" s="312"/>
      <c r="K218" s="32"/>
      <c r="L218" s="274"/>
      <c r="M218" s="275"/>
      <c r="O218" s="91"/>
      <c r="R218" s="108"/>
      <c r="S218" s="393"/>
    </row>
    <row r="219" spans="1:19" s="19" customFormat="1" ht="14.25" customHeight="1">
      <c r="A219" s="725" t="s">
        <v>605</v>
      </c>
      <c r="B219" s="728" t="s">
        <v>644</v>
      </c>
      <c r="C219" s="729"/>
      <c r="D219" s="730"/>
      <c r="E219" s="734" t="s">
        <v>513</v>
      </c>
      <c r="F219" s="737" t="s">
        <v>639</v>
      </c>
      <c r="G219" s="738"/>
      <c r="H219" s="737" t="s">
        <v>606</v>
      </c>
      <c r="I219" s="738"/>
      <c r="J219" s="319"/>
      <c r="K219" s="32"/>
      <c r="L219" s="274"/>
      <c r="M219" s="275"/>
      <c r="N219" s="27"/>
      <c r="P219" s="23"/>
      <c r="Q219" s="23"/>
      <c r="R219" s="294"/>
      <c r="S219" s="393"/>
    </row>
    <row r="220" spans="1:24" s="23" customFormat="1" ht="21" customHeight="1">
      <c r="A220" s="726"/>
      <c r="B220" s="731"/>
      <c r="C220" s="732"/>
      <c r="D220" s="733"/>
      <c r="E220" s="736"/>
      <c r="F220" s="741"/>
      <c r="G220" s="742"/>
      <c r="H220" s="741"/>
      <c r="I220" s="742"/>
      <c r="J220" s="320"/>
      <c r="K220" s="32"/>
      <c r="L220" s="274"/>
      <c r="M220" s="275"/>
      <c r="N220" s="71"/>
      <c r="P220" s="69"/>
      <c r="Q220" s="38"/>
      <c r="R220" s="295"/>
      <c r="S220" s="393"/>
      <c r="T220" s="22"/>
      <c r="U220" s="22"/>
      <c r="V220" s="22"/>
      <c r="W220" s="22"/>
      <c r="X220" s="22"/>
    </row>
    <row r="221" spans="1:23" s="23" customFormat="1" ht="12.75" customHeight="1">
      <c r="A221" s="726"/>
      <c r="B221" s="731"/>
      <c r="C221" s="732"/>
      <c r="D221" s="733"/>
      <c r="E221" s="743">
        <f>IF(AND(F221="",H221=""),IF(fio="","",0),"")</f>
      </c>
      <c r="F221" s="745"/>
      <c r="G221" s="745"/>
      <c r="H221" s="745"/>
      <c r="I221" s="745"/>
      <c r="J221" s="320"/>
      <c r="K221" s="32">
        <f>MAX(E221:I222)</f>
        <v>0</v>
      </c>
      <c r="L221" s="274">
        <v>150</v>
      </c>
      <c r="M221" s="275"/>
      <c r="N221" s="259"/>
      <c r="O221" s="24"/>
      <c r="P221" s="38"/>
      <c r="Q221" s="38"/>
      <c r="R221" s="296"/>
      <c r="S221" s="393"/>
      <c r="T221" s="57"/>
      <c r="U221" s="57"/>
      <c r="V221" s="57"/>
      <c r="W221" s="57"/>
    </row>
    <row r="222" spans="1:23" s="23" customFormat="1" ht="12.75" customHeight="1">
      <c r="A222" s="727"/>
      <c r="B222" s="746" t="s">
        <v>404</v>
      </c>
      <c r="C222" s="747"/>
      <c r="D222" s="748"/>
      <c r="E222" s="744"/>
      <c r="F222" s="745"/>
      <c r="G222" s="745"/>
      <c r="H222" s="745"/>
      <c r="I222" s="745"/>
      <c r="J222" s="321"/>
      <c r="K222" s="32"/>
      <c r="L222" s="274"/>
      <c r="M222" s="275"/>
      <c r="N222" s="175"/>
      <c r="O222" s="24"/>
      <c r="P222" s="38"/>
      <c r="Q222" s="38"/>
      <c r="R222" s="297"/>
      <c r="S222" s="393"/>
      <c r="T222" s="25"/>
      <c r="U222" s="25"/>
      <c r="V222" s="25"/>
      <c r="W222" s="25"/>
    </row>
    <row r="223" spans="1:23" s="23" customFormat="1" ht="33" customHeight="1">
      <c r="A223" s="411"/>
      <c r="B223" s="344"/>
      <c r="C223" s="344"/>
      <c r="D223" s="344"/>
      <c r="E223" s="346"/>
      <c r="F223" s="591"/>
      <c r="G223" s="591"/>
      <c r="H223" s="591"/>
      <c r="I223" s="591"/>
      <c r="J223" s="321"/>
      <c r="K223" s="32"/>
      <c r="L223" s="272"/>
      <c r="M223" s="272"/>
      <c r="N223" s="175"/>
      <c r="O223" s="24"/>
      <c r="P223" s="38"/>
      <c r="Q223" s="38"/>
      <c r="R223" s="297"/>
      <c r="S223" s="393"/>
      <c r="T223" s="25"/>
      <c r="U223" s="25"/>
      <c r="V223" s="25"/>
      <c r="W223" s="25"/>
    </row>
    <row r="224" spans="1:64" s="356" customFormat="1" ht="36.75" customHeight="1">
      <c r="A224" s="343" t="s">
        <v>576</v>
      </c>
      <c r="B224" s="910" t="s">
        <v>499</v>
      </c>
      <c r="C224" s="910"/>
      <c r="D224" s="910"/>
      <c r="E224" s="910"/>
      <c r="F224" s="910"/>
      <c r="G224" s="910"/>
      <c r="H224" s="910"/>
      <c r="I224" s="910"/>
      <c r="J224" s="313"/>
      <c r="K224" s="343"/>
      <c r="L224" s="417"/>
      <c r="M224" s="418" t="s">
        <v>535</v>
      </c>
      <c r="N224" s="419">
        <f>SUM(K225:K450)</f>
        <v>0</v>
      </c>
      <c r="O224" s="343"/>
      <c r="P224" s="343"/>
      <c r="Q224" s="343"/>
      <c r="R224" s="343"/>
      <c r="S224" s="393"/>
      <c r="T224" s="343"/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43"/>
      <c r="AI224" s="343"/>
      <c r="AJ224" s="343"/>
      <c r="AK224" s="343"/>
      <c r="AL224" s="343"/>
      <c r="AM224" s="343"/>
      <c r="AN224" s="343"/>
      <c r="AO224" s="343"/>
      <c r="AP224" s="343"/>
      <c r="AQ224" s="343"/>
      <c r="AR224" s="343"/>
      <c r="AS224" s="343"/>
      <c r="AT224" s="343"/>
      <c r="AU224" s="343"/>
      <c r="AV224" s="343"/>
      <c r="AW224" s="343"/>
      <c r="AX224" s="343"/>
      <c r="AY224" s="343"/>
      <c r="AZ224" s="343"/>
      <c r="BA224" s="343"/>
      <c r="BB224" s="343"/>
      <c r="BC224" s="343"/>
      <c r="BD224" s="343"/>
      <c r="BE224" s="23"/>
      <c r="BF224" s="23"/>
      <c r="BG224" s="23"/>
      <c r="BH224" s="23"/>
      <c r="BI224" s="23"/>
      <c r="BJ224" s="23"/>
      <c r="BK224" s="23"/>
      <c r="BL224" s="23"/>
    </row>
    <row r="225" spans="1:64" s="336" customFormat="1" ht="16.5" customHeight="1">
      <c r="A225" s="326" t="s">
        <v>384</v>
      </c>
      <c r="D225" s="325"/>
      <c r="E225" s="325"/>
      <c r="F225" s="325"/>
      <c r="G225" s="325"/>
      <c r="H225" s="325"/>
      <c r="I225" s="325"/>
      <c r="J225" s="313"/>
      <c r="S225" s="391"/>
      <c r="BE225" s="23"/>
      <c r="BF225" s="23"/>
      <c r="BG225" s="23"/>
      <c r="BH225" s="23"/>
      <c r="BI225" s="23"/>
      <c r="BJ225" s="23"/>
      <c r="BK225" s="23"/>
      <c r="BL225" s="23"/>
    </row>
    <row r="226" spans="1:64" s="336" customFormat="1" ht="12.75" customHeight="1">
      <c r="A226" s="349" t="s">
        <v>142</v>
      </c>
      <c r="B226" s="894" t="s">
        <v>469</v>
      </c>
      <c r="C226" s="894"/>
      <c r="D226" s="894"/>
      <c r="E226" s="894"/>
      <c r="F226" s="894"/>
      <c r="G226" s="894"/>
      <c r="H226" s="894"/>
      <c r="I226" s="894"/>
      <c r="J226" s="313"/>
      <c r="K226" s="347"/>
      <c r="L226" s="347"/>
      <c r="M226" s="347"/>
      <c r="N226" s="347"/>
      <c r="O226" s="347"/>
      <c r="P226" s="347"/>
      <c r="Q226" s="347"/>
      <c r="R226" s="347"/>
      <c r="S226" s="392"/>
      <c r="T226" s="347"/>
      <c r="U226" s="347"/>
      <c r="V226" s="347"/>
      <c r="W226" s="347"/>
      <c r="X226" s="347"/>
      <c r="Y226" s="347"/>
      <c r="Z226" s="347"/>
      <c r="AA226" s="347"/>
      <c r="AB226" s="347"/>
      <c r="AC226" s="347"/>
      <c r="AD226" s="347"/>
      <c r="AE226" s="347"/>
      <c r="AF226" s="347"/>
      <c r="AG226" s="347"/>
      <c r="AH226" s="347"/>
      <c r="AI226" s="347"/>
      <c r="AJ226" s="347"/>
      <c r="AK226" s="347"/>
      <c r="AL226" s="347"/>
      <c r="AM226" s="347"/>
      <c r="AN226" s="347"/>
      <c r="AO226" s="347"/>
      <c r="AP226" s="347"/>
      <c r="AQ226" s="347"/>
      <c r="AR226" s="347"/>
      <c r="AS226" s="347"/>
      <c r="AT226" s="347"/>
      <c r="AU226" s="347"/>
      <c r="AV226" s="347"/>
      <c r="AW226" s="347"/>
      <c r="AX226" s="347"/>
      <c r="AY226" s="347"/>
      <c r="AZ226" s="347"/>
      <c r="BA226" s="347"/>
      <c r="BB226" s="347"/>
      <c r="BC226" s="347"/>
      <c r="BD226" s="347"/>
      <c r="BE226" s="23"/>
      <c r="BF226" s="23"/>
      <c r="BG226" s="23"/>
      <c r="BH226" s="23"/>
      <c r="BI226" s="23"/>
      <c r="BJ226" s="23"/>
      <c r="BK226" s="23"/>
      <c r="BL226" s="23"/>
    </row>
    <row r="227" spans="1:64" s="336" customFormat="1" ht="12.75" customHeight="1">
      <c r="A227" s="349"/>
      <c r="B227" s="894"/>
      <c r="C227" s="894"/>
      <c r="D227" s="894"/>
      <c r="E227" s="894"/>
      <c r="F227" s="894"/>
      <c r="G227" s="894"/>
      <c r="H227" s="894"/>
      <c r="I227" s="894"/>
      <c r="J227" s="313"/>
      <c r="K227" s="347"/>
      <c r="L227" s="347"/>
      <c r="M227" s="347"/>
      <c r="N227" s="347"/>
      <c r="O227" s="347"/>
      <c r="P227" s="347"/>
      <c r="Q227" s="347"/>
      <c r="R227" s="347"/>
      <c r="S227" s="392"/>
      <c r="T227" s="347"/>
      <c r="U227" s="347"/>
      <c r="V227" s="347"/>
      <c r="W227" s="347"/>
      <c r="X227" s="347"/>
      <c r="Y227" s="347"/>
      <c r="Z227" s="347"/>
      <c r="AA227" s="347"/>
      <c r="AB227" s="347"/>
      <c r="AC227" s="347"/>
      <c r="AD227" s="347"/>
      <c r="AE227" s="347"/>
      <c r="AF227" s="347"/>
      <c r="AG227" s="347"/>
      <c r="AH227" s="347"/>
      <c r="AI227" s="347"/>
      <c r="AJ227" s="347"/>
      <c r="AK227" s="347"/>
      <c r="AL227" s="347"/>
      <c r="AM227" s="347"/>
      <c r="AN227" s="347"/>
      <c r="AO227" s="347"/>
      <c r="AP227" s="347"/>
      <c r="AQ227" s="347"/>
      <c r="AR227" s="347"/>
      <c r="AS227" s="347"/>
      <c r="AT227" s="347"/>
      <c r="AU227" s="347"/>
      <c r="AV227" s="347"/>
      <c r="AW227" s="347"/>
      <c r="AX227" s="347"/>
      <c r="AY227" s="347"/>
      <c r="AZ227" s="347"/>
      <c r="BA227" s="347"/>
      <c r="BB227" s="347"/>
      <c r="BC227" s="347"/>
      <c r="BD227" s="347"/>
      <c r="BE227" s="23"/>
      <c r="BF227" s="23"/>
      <c r="BG227" s="23"/>
      <c r="BH227" s="23"/>
      <c r="BI227" s="23"/>
      <c r="BJ227" s="23"/>
      <c r="BK227" s="23"/>
      <c r="BL227" s="23"/>
    </row>
    <row r="228" spans="1:64" s="336" customFormat="1" ht="12.75" customHeight="1">
      <c r="A228" s="349"/>
      <c r="B228" s="894"/>
      <c r="C228" s="894"/>
      <c r="D228" s="894"/>
      <c r="E228" s="894"/>
      <c r="F228" s="894"/>
      <c r="G228" s="894"/>
      <c r="H228" s="894"/>
      <c r="I228" s="894"/>
      <c r="J228" s="313"/>
      <c r="K228" s="347"/>
      <c r="L228" s="347"/>
      <c r="M228" s="347"/>
      <c r="N228" s="347"/>
      <c r="O228" s="347"/>
      <c r="P228" s="347"/>
      <c r="Q228" s="347"/>
      <c r="R228" s="347"/>
      <c r="S228" s="392"/>
      <c r="T228" s="347"/>
      <c r="U228" s="347"/>
      <c r="V228" s="347"/>
      <c r="W228" s="347"/>
      <c r="X228" s="347"/>
      <c r="Y228" s="347"/>
      <c r="Z228" s="347"/>
      <c r="AA228" s="347"/>
      <c r="AB228" s="347"/>
      <c r="AC228" s="347"/>
      <c r="AD228" s="347"/>
      <c r="AE228" s="347"/>
      <c r="AF228" s="347"/>
      <c r="AG228" s="347"/>
      <c r="AH228" s="347"/>
      <c r="AI228" s="347"/>
      <c r="AJ228" s="347"/>
      <c r="AK228" s="347"/>
      <c r="AL228" s="347"/>
      <c r="AM228" s="347"/>
      <c r="AN228" s="347"/>
      <c r="AO228" s="347"/>
      <c r="AP228" s="347"/>
      <c r="AQ228" s="347"/>
      <c r="AR228" s="347"/>
      <c r="AS228" s="347"/>
      <c r="AT228" s="347"/>
      <c r="AU228" s="347"/>
      <c r="AV228" s="347"/>
      <c r="AW228" s="347"/>
      <c r="AX228" s="347"/>
      <c r="AY228" s="347"/>
      <c r="AZ228" s="347"/>
      <c r="BA228" s="347"/>
      <c r="BB228" s="347"/>
      <c r="BC228" s="347"/>
      <c r="BD228" s="347"/>
      <c r="BE228" s="23"/>
      <c r="BF228" s="23"/>
      <c r="BG228" s="23"/>
      <c r="BH228" s="23"/>
      <c r="BI228" s="23"/>
      <c r="BJ228" s="23"/>
      <c r="BK228" s="23"/>
      <c r="BL228" s="23"/>
    </row>
    <row r="229" spans="1:64" s="336" customFormat="1" ht="16.5" customHeight="1">
      <c r="A229" s="349"/>
      <c r="B229" s="894"/>
      <c r="C229" s="894"/>
      <c r="D229" s="894"/>
      <c r="E229" s="894"/>
      <c r="F229" s="894"/>
      <c r="G229" s="894"/>
      <c r="H229" s="894"/>
      <c r="I229" s="894"/>
      <c r="J229" s="313"/>
      <c r="K229" s="347"/>
      <c r="L229" s="347"/>
      <c r="M229" s="347"/>
      <c r="N229" s="347"/>
      <c r="O229" s="347"/>
      <c r="P229" s="347"/>
      <c r="Q229" s="347"/>
      <c r="R229" s="347"/>
      <c r="S229" s="392"/>
      <c r="T229" s="347"/>
      <c r="U229" s="347"/>
      <c r="V229" s="347"/>
      <c r="W229" s="347"/>
      <c r="X229" s="347"/>
      <c r="Y229" s="347"/>
      <c r="Z229" s="347"/>
      <c r="AA229" s="347"/>
      <c r="AB229" s="347"/>
      <c r="AC229" s="347"/>
      <c r="AD229" s="347"/>
      <c r="AE229" s="347"/>
      <c r="AF229" s="347"/>
      <c r="AG229" s="347"/>
      <c r="AH229" s="347"/>
      <c r="AI229" s="347"/>
      <c r="AJ229" s="347"/>
      <c r="AK229" s="347"/>
      <c r="AL229" s="347"/>
      <c r="AM229" s="347"/>
      <c r="AN229" s="347"/>
      <c r="AO229" s="347"/>
      <c r="AP229" s="347"/>
      <c r="AQ229" s="347"/>
      <c r="AR229" s="347"/>
      <c r="AS229" s="347"/>
      <c r="AT229" s="347"/>
      <c r="AU229" s="347"/>
      <c r="AV229" s="347"/>
      <c r="AW229" s="347"/>
      <c r="AX229" s="347"/>
      <c r="AY229" s="347"/>
      <c r="AZ229" s="347"/>
      <c r="BA229" s="347"/>
      <c r="BB229" s="347"/>
      <c r="BC229" s="347"/>
      <c r="BD229" s="347"/>
      <c r="BE229" s="23"/>
      <c r="BF229" s="23"/>
      <c r="BG229" s="23"/>
      <c r="BH229" s="23"/>
      <c r="BI229" s="23"/>
      <c r="BJ229" s="23"/>
      <c r="BK229" s="23"/>
      <c r="BL229" s="23"/>
    </row>
    <row r="230" spans="1:64" s="336" customFormat="1" ht="12.75" customHeight="1">
      <c r="A230" s="349" t="s">
        <v>142</v>
      </c>
      <c r="B230" s="893" t="s">
        <v>470</v>
      </c>
      <c r="C230" s="893"/>
      <c r="D230" s="893"/>
      <c r="E230" s="893"/>
      <c r="F230" s="893"/>
      <c r="G230" s="893"/>
      <c r="H230" s="893"/>
      <c r="I230" s="893"/>
      <c r="J230" s="313"/>
      <c r="K230" s="348"/>
      <c r="L230" s="348"/>
      <c r="M230" s="348"/>
      <c r="N230" s="348"/>
      <c r="O230" s="348"/>
      <c r="P230" s="348"/>
      <c r="Q230" s="348"/>
      <c r="R230" s="348"/>
      <c r="S230" s="392"/>
      <c r="T230" s="348"/>
      <c r="U230" s="348"/>
      <c r="V230" s="348"/>
      <c r="W230" s="348"/>
      <c r="X230" s="348"/>
      <c r="Y230" s="348"/>
      <c r="Z230" s="348"/>
      <c r="AA230" s="348"/>
      <c r="AB230" s="348"/>
      <c r="AC230" s="348"/>
      <c r="AD230" s="348"/>
      <c r="AE230" s="348"/>
      <c r="AF230" s="348"/>
      <c r="AG230" s="348"/>
      <c r="AH230" s="348"/>
      <c r="AI230" s="348"/>
      <c r="AJ230" s="348"/>
      <c r="AK230" s="348"/>
      <c r="AL230" s="348"/>
      <c r="AM230" s="348"/>
      <c r="AN230" s="348"/>
      <c r="AO230" s="348"/>
      <c r="AP230" s="348"/>
      <c r="AQ230" s="348"/>
      <c r="AR230" s="348"/>
      <c r="AS230" s="348"/>
      <c r="AT230" s="348"/>
      <c r="AU230" s="348"/>
      <c r="AV230" s="348"/>
      <c r="AW230" s="348"/>
      <c r="AX230" s="348"/>
      <c r="AY230" s="348"/>
      <c r="AZ230" s="348"/>
      <c r="BA230" s="348"/>
      <c r="BB230" s="348"/>
      <c r="BC230" s="348"/>
      <c r="BD230" s="348"/>
      <c r="BE230" s="23"/>
      <c r="BF230" s="23"/>
      <c r="BG230" s="23"/>
      <c r="BH230" s="23"/>
      <c r="BI230" s="23"/>
      <c r="BJ230" s="23"/>
      <c r="BK230" s="23"/>
      <c r="BL230" s="23"/>
    </row>
    <row r="231" spans="1:64" s="336" customFormat="1" ht="12.75" customHeight="1">
      <c r="A231" s="359"/>
      <c r="B231" s="893"/>
      <c r="C231" s="893"/>
      <c r="D231" s="893"/>
      <c r="E231" s="893"/>
      <c r="F231" s="893"/>
      <c r="G231" s="893"/>
      <c r="H231" s="893"/>
      <c r="I231" s="893"/>
      <c r="J231" s="313"/>
      <c r="K231" s="348"/>
      <c r="L231" s="348"/>
      <c r="M231" s="348"/>
      <c r="N231" s="348"/>
      <c r="O231" s="348"/>
      <c r="P231" s="348"/>
      <c r="Q231" s="348"/>
      <c r="R231" s="348"/>
      <c r="S231" s="392"/>
      <c r="T231" s="348"/>
      <c r="U231" s="348"/>
      <c r="V231" s="348"/>
      <c r="W231" s="348"/>
      <c r="X231" s="348"/>
      <c r="Y231" s="348"/>
      <c r="Z231" s="348"/>
      <c r="AA231" s="348"/>
      <c r="AB231" s="348"/>
      <c r="AC231" s="348"/>
      <c r="AD231" s="348"/>
      <c r="AE231" s="348"/>
      <c r="AF231" s="348"/>
      <c r="AG231" s="348"/>
      <c r="AH231" s="348"/>
      <c r="AI231" s="348"/>
      <c r="AJ231" s="348"/>
      <c r="AK231" s="348"/>
      <c r="AL231" s="348"/>
      <c r="AM231" s="348"/>
      <c r="AN231" s="348"/>
      <c r="AO231" s="348"/>
      <c r="AP231" s="348"/>
      <c r="AQ231" s="348"/>
      <c r="AR231" s="348"/>
      <c r="AS231" s="348"/>
      <c r="AT231" s="348"/>
      <c r="AU231" s="348"/>
      <c r="AV231" s="348"/>
      <c r="AW231" s="348"/>
      <c r="AX231" s="348"/>
      <c r="AY231" s="348"/>
      <c r="AZ231" s="348"/>
      <c r="BA231" s="348"/>
      <c r="BB231" s="348"/>
      <c r="BC231" s="348"/>
      <c r="BD231" s="348"/>
      <c r="BE231" s="23"/>
      <c r="BF231" s="23"/>
      <c r="BG231" s="23"/>
      <c r="BH231" s="23"/>
      <c r="BI231" s="23"/>
      <c r="BJ231" s="23"/>
      <c r="BK231" s="23"/>
      <c r="BL231" s="23"/>
    </row>
    <row r="232" spans="1:64" s="336" customFormat="1" ht="12.75" customHeight="1">
      <c r="A232" s="359"/>
      <c r="B232" s="893"/>
      <c r="C232" s="893"/>
      <c r="D232" s="893"/>
      <c r="E232" s="893"/>
      <c r="F232" s="893"/>
      <c r="G232" s="893"/>
      <c r="H232" s="893"/>
      <c r="I232" s="893"/>
      <c r="J232" s="313"/>
      <c r="K232" s="348"/>
      <c r="L232" s="348"/>
      <c r="M232" s="348"/>
      <c r="N232" s="348"/>
      <c r="O232" s="348"/>
      <c r="P232" s="348"/>
      <c r="Q232" s="348"/>
      <c r="R232" s="348"/>
      <c r="S232" s="392"/>
      <c r="T232" s="348"/>
      <c r="U232" s="348"/>
      <c r="V232" s="348"/>
      <c r="W232" s="348"/>
      <c r="X232" s="348"/>
      <c r="Y232" s="348"/>
      <c r="Z232" s="348"/>
      <c r="AA232" s="348"/>
      <c r="AB232" s="348"/>
      <c r="AC232" s="348"/>
      <c r="AD232" s="348"/>
      <c r="AE232" s="348"/>
      <c r="AF232" s="348"/>
      <c r="AG232" s="348"/>
      <c r="AH232" s="348"/>
      <c r="AI232" s="348"/>
      <c r="AJ232" s="348"/>
      <c r="AK232" s="348"/>
      <c r="AL232" s="348"/>
      <c r="AM232" s="348"/>
      <c r="AN232" s="348"/>
      <c r="AO232" s="348"/>
      <c r="AP232" s="348"/>
      <c r="AQ232" s="348"/>
      <c r="AR232" s="348"/>
      <c r="AS232" s="348"/>
      <c r="AT232" s="348"/>
      <c r="AU232" s="348"/>
      <c r="AV232" s="348"/>
      <c r="AW232" s="348"/>
      <c r="AX232" s="348"/>
      <c r="AY232" s="348"/>
      <c r="AZ232" s="348"/>
      <c r="BA232" s="348"/>
      <c r="BB232" s="348"/>
      <c r="BC232" s="348"/>
      <c r="BD232" s="348"/>
      <c r="BE232" s="23"/>
      <c r="BF232" s="23"/>
      <c r="BG232" s="23"/>
      <c r="BH232" s="23"/>
      <c r="BI232" s="23"/>
      <c r="BJ232" s="23"/>
      <c r="BK232" s="23"/>
      <c r="BL232" s="23"/>
    </row>
    <row r="233" spans="1:64" s="336" customFormat="1" ht="12.75" customHeight="1">
      <c r="A233" s="359"/>
      <c r="B233" s="893"/>
      <c r="C233" s="893"/>
      <c r="D233" s="893"/>
      <c r="E233" s="893"/>
      <c r="F233" s="893"/>
      <c r="G233" s="893"/>
      <c r="H233" s="893"/>
      <c r="I233" s="893"/>
      <c r="J233" s="313"/>
      <c r="K233" s="348"/>
      <c r="L233" s="348"/>
      <c r="M233" s="348"/>
      <c r="N233" s="348"/>
      <c r="O233" s="348"/>
      <c r="P233" s="348"/>
      <c r="Q233" s="348"/>
      <c r="R233" s="348"/>
      <c r="S233" s="392"/>
      <c r="T233" s="348"/>
      <c r="U233" s="348"/>
      <c r="V233" s="348"/>
      <c r="W233" s="348"/>
      <c r="X233" s="348"/>
      <c r="Y233" s="348"/>
      <c r="Z233" s="348"/>
      <c r="AA233" s="348"/>
      <c r="AB233" s="348"/>
      <c r="AC233" s="348"/>
      <c r="AD233" s="348"/>
      <c r="AE233" s="348"/>
      <c r="AF233" s="348"/>
      <c r="AG233" s="348"/>
      <c r="AH233" s="348"/>
      <c r="AI233" s="348"/>
      <c r="AJ233" s="348"/>
      <c r="AK233" s="348"/>
      <c r="AL233" s="348"/>
      <c r="AM233" s="348"/>
      <c r="AN233" s="348"/>
      <c r="AO233" s="348"/>
      <c r="AP233" s="348"/>
      <c r="AQ233" s="348"/>
      <c r="AR233" s="348"/>
      <c r="AS233" s="348"/>
      <c r="AT233" s="348"/>
      <c r="AU233" s="348"/>
      <c r="AV233" s="348"/>
      <c r="AW233" s="348"/>
      <c r="AX233" s="348"/>
      <c r="AY233" s="348"/>
      <c r="AZ233" s="348"/>
      <c r="BA233" s="348"/>
      <c r="BB233" s="348"/>
      <c r="BC233" s="348"/>
      <c r="BD233" s="348"/>
      <c r="BE233" s="23"/>
      <c r="BF233" s="23"/>
      <c r="BG233" s="23"/>
      <c r="BH233" s="23"/>
      <c r="BI233" s="23"/>
      <c r="BJ233" s="23"/>
      <c r="BK233" s="23"/>
      <c r="BL233" s="23"/>
    </row>
    <row r="234" spans="1:64" s="336" customFormat="1" ht="12.75" customHeight="1">
      <c r="A234" s="359"/>
      <c r="B234" s="893"/>
      <c r="C234" s="893"/>
      <c r="D234" s="893"/>
      <c r="E234" s="893"/>
      <c r="F234" s="893"/>
      <c r="G234" s="893"/>
      <c r="H234" s="893"/>
      <c r="I234" s="893"/>
      <c r="J234" s="313"/>
      <c r="K234" s="348"/>
      <c r="L234" s="348"/>
      <c r="M234" s="348"/>
      <c r="N234" s="348"/>
      <c r="O234" s="348"/>
      <c r="P234" s="348"/>
      <c r="Q234" s="348"/>
      <c r="R234" s="348"/>
      <c r="S234" s="392"/>
      <c r="T234" s="348"/>
      <c r="U234" s="348"/>
      <c r="V234" s="348"/>
      <c r="W234" s="348"/>
      <c r="X234" s="348"/>
      <c r="Y234" s="348"/>
      <c r="Z234" s="348"/>
      <c r="AA234" s="348"/>
      <c r="AB234" s="348"/>
      <c r="AC234" s="348"/>
      <c r="AD234" s="348"/>
      <c r="AE234" s="348"/>
      <c r="AF234" s="348"/>
      <c r="AG234" s="348"/>
      <c r="AH234" s="348"/>
      <c r="AI234" s="348"/>
      <c r="AJ234" s="348"/>
      <c r="AK234" s="348"/>
      <c r="AL234" s="348"/>
      <c r="AM234" s="348"/>
      <c r="AN234" s="348"/>
      <c r="AO234" s="348"/>
      <c r="AP234" s="348"/>
      <c r="AQ234" s="348"/>
      <c r="AR234" s="348"/>
      <c r="AS234" s="348"/>
      <c r="AT234" s="348"/>
      <c r="AU234" s="348"/>
      <c r="AV234" s="348"/>
      <c r="AW234" s="348"/>
      <c r="AX234" s="348"/>
      <c r="AY234" s="348"/>
      <c r="AZ234" s="348"/>
      <c r="BA234" s="348"/>
      <c r="BB234" s="348"/>
      <c r="BC234" s="348"/>
      <c r="BD234" s="348"/>
      <c r="BE234" s="23"/>
      <c r="BF234" s="23"/>
      <c r="BG234" s="23"/>
      <c r="BH234" s="23"/>
      <c r="BI234" s="23"/>
      <c r="BJ234" s="23"/>
      <c r="BK234" s="23"/>
      <c r="BL234" s="23"/>
    </row>
    <row r="235" spans="1:64" s="336" customFormat="1" ht="23.25" customHeight="1">
      <c r="A235" s="359"/>
      <c r="B235" s="893"/>
      <c r="C235" s="893"/>
      <c r="D235" s="893"/>
      <c r="E235" s="893"/>
      <c r="F235" s="893"/>
      <c r="G235" s="893"/>
      <c r="H235" s="893"/>
      <c r="I235" s="893"/>
      <c r="J235" s="313"/>
      <c r="K235" s="348"/>
      <c r="L235" s="348"/>
      <c r="M235" s="348"/>
      <c r="N235" s="348"/>
      <c r="O235" s="348"/>
      <c r="P235" s="348"/>
      <c r="Q235" s="348"/>
      <c r="R235" s="348"/>
      <c r="S235" s="392"/>
      <c r="T235" s="348"/>
      <c r="U235" s="348"/>
      <c r="V235" s="348"/>
      <c r="W235" s="348"/>
      <c r="X235" s="348"/>
      <c r="Y235" s="348"/>
      <c r="Z235" s="348"/>
      <c r="AA235" s="348"/>
      <c r="AB235" s="348"/>
      <c r="AC235" s="348"/>
      <c r="AD235" s="348"/>
      <c r="AE235" s="348"/>
      <c r="AF235" s="348"/>
      <c r="AG235" s="348"/>
      <c r="AH235" s="348"/>
      <c r="AI235" s="348"/>
      <c r="AJ235" s="348"/>
      <c r="AK235" s="348"/>
      <c r="AL235" s="348"/>
      <c r="AM235" s="348"/>
      <c r="AN235" s="348"/>
      <c r="AO235" s="348"/>
      <c r="AP235" s="348"/>
      <c r="AQ235" s="348"/>
      <c r="AR235" s="348"/>
      <c r="AS235" s="348"/>
      <c r="AT235" s="348"/>
      <c r="AU235" s="348"/>
      <c r="AV235" s="348"/>
      <c r="AW235" s="348"/>
      <c r="AX235" s="348"/>
      <c r="AY235" s="348"/>
      <c r="AZ235" s="348"/>
      <c r="BA235" s="348"/>
      <c r="BB235" s="348"/>
      <c r="BC235" s="348"/>
      <c r="BD235" s="348"/>
      <c r="BE235" s="23"/>
      <c r="BF235" s="23"/>
      <c r="BG235" s="23"/>
      <c r="BH235" s="23"/>
      <c r="BI235" s="23"/>
      <c r="BJ235" s="23"/>
      <c r="BK235" s="23"/>
      <c r="BL235" s="23"/>
    </row>
    <row r="236" spans="1:19" ht="27.75" customHeight="1">
      <c r="A236" s="16"/>
      <c r="B236" s="255"/>
      <c r="C236" s="255"/>
      <c r="D236" s="163"/>
      <c r="E236" s="164"/>
      <c r="F236" s="172"/>
      <c r="G236" s="172"/>
      <c r="H236" s="172"/>
      <c r="I236" s="172"/>
      <c r="J236" s="312"/>
      <c r="K236" s="348"/>
      <c r="L236" s="348"/>
      <c r="M236" s="348"/>
      <c r="N236" s="348"/>
      <c r="O236" s="91"/>
      <c r="R236" s="108"/>
      <c r="S236" s="388"/>
    </row>
    <row r="237" spans="1:20" s="146" customFormat="1" ht="12.75" customHeight="1">
      <c r="A237" s="571" t="s">
        <v>137</v>
      </c>
      <c r="B237" s="571"/>
      <c r="C237" s="571"/>
      <c r="D237" s="53"/>
      <c r="E237" s="256"/>
      <c r="F237" s="257"/>
      <c r="G237" s="257"/>
      <c r="H237" s="257"/>
      <c r="I237" s="257"/>
      <c r="J237" s="573"/>
      <c r="K237" s="348"/>
      <c r="L237" s="348"/>
      <c r="M237" s="348"/>
      <c r="N237" s="348"/>
      <c r="O237" s="271"/>
      <c r="P237" s="574"/>
      <c r="Q237" s="574"/>
      <c r="R237" s="575"/>
      <c r="S237" s="389"/>
      <c r="T237" s="574"/>
    </row>
    <row r="238" spans="1:68" s="332" customFormat="1" ht="21" customHeight="1">
      <c r="A238" s="360" t="s">
        <v>411</v>
      </c>
      <c r="B238" s="361" t="s">
        <v>412</v>
      </c>
      <c r="C238" s="360"/>
      <c r="E238" s="361"/>
      <c r="F238" s="361"/>
      <c r="G238" s="361"/>
      <c r="H238" s="361"/>
      <c r="I238" s="361"/>
      <c r="J238" s="313"/>
      <c r="K238" s="361"/>
      <c r="L238" s="361"/>
      <c r="M238" s="361"/>
      <c r="N238" s="361"/>
      <c r="O238" s="361"/>
      <c r="P238" s="361"/>
      <c r="Q238" s="361"/>
      <c r="R238" s="361"/>
      <c r="S238" s="395"/>
      <c r="T238" s="361"/>
      <c r="U238" s="361"/>
      <c r="V238" s="361"/>
      <c r="W238" s="361"/>
      <c r="X238" s="361"/>
      <c r="Y238" s="361"/>
      <c r="Z238" s="361"/>
      <c r="AA238" s="361"/>
      <c r="AB238" s="361"/>
      <c r="AC238" s="361"/>
      <c r="AD238" s="361"/>
      <c r="AE238" s="361"/>
      <c r="AF238" s="361"/>
      <c r="AG238" s="361"/>
      <c r="AH238" s="361"/>
      <c r="AI238" s="361"/>
      <c r="AJ238" s="361"/>
      <c r="AK238" s="361"/>
      <c r="AL238" s="361"/>
      <c r="AM238" s="361"/>
      <c r="AN238" s="361"/>
      <c r="AO238" s="361"/>
      <c r="AP238" s="361"/>
      <c r="AQ238" s="361"/>
      <c r="AR238" s="361"/>
      <c r="AS238" s="361"/>
      <c r="AT238" s="361"/>
      <c r="AU238" s="361"/>
      <c r="AV238" s="361"/>
      <c r="AW238" s="361"/>
      <c r="AX238" s="361"/>
      <c r="AY238" s="361"/>
      <c r="AZ238" s="361"/>
      <c r="BA238" s="361"/>
      <c r="BB238" s="361"/>
      <c r="BC238" s="361"/>
      <c r="BD238" s="361"/>
      <c r="BE238" s="23"/>
      <c r="BF238" s="23"/>
      <c r="BG238" s="23"/>
      <c r="BH238" s="23"/>
      <c r="BI238" s="23"/>
      <c r="BJ238" s="23"/>
      <c r="BK238" s="23"/>
      <c r="BL238" s="23"/>
      <c r="BM238" s="336"/>
      <c r="BN238" s="336"/>
      <c r="BO238" s="336"/>
      <c r="BP238" s="336"/>
    </row>
    <row r="239" spans="1:68" s="332" customFormat="1" ht="3.75" customHeight="1">
      <c r="A239" s="360"/>
      <c r="B239" s="360"/>
      <c r="C239" s="360"/>
      <c r="D239" s="361"/>
      <c r="E239" s="361"/>
      <c r="F239" s="361"/>
      <c r="G239" s="361"/>
      <c r="H239" s="361"/>
      <c r="I239" s="361"/>
      <c r="J239" s="313"/>
      <c r="K239" s="361"/>
      <c r="L239" s="361"/>
      <c r="M239" s="361"/>
      <c r="N239" s="361"/>
      <c r="O239" s="361"/>
      <c r="P239" s="361"/>
      <c r="Q239" s="361"/>
      <c r="R239" s="361"/>
      <c r="S239" s="395"/>
      <c r="T239" s="361"/>
      <c r="U239" s="361"/>
      <c r="V239" s="361"/>
      <c r="W239" s="361"/>
      <c r="X239" s="361"/>
      <c r="Y239" s="361"/>
      <c r="Z239" s="361"/>
      <c r="AA239" s="361"/>
      <c r="AB239" s="361"/>
      <c r="AC239" s="361"/>
      <c r="AD239" s="361"/>
      <c r="AE239" s="361"/>
      <c r="AF239" s="361"/>
      <c r="AG239" s="361"/>
      <c r="AH239" s="361"/>
      <c r="AI239" s="361"/>
      <c r="AJ239" s="361"/>
      <c r="AK239" s="361"/>
      <c r="AL239" s="361"/>
      <c r="AM239" s="361"/>
      <c r="AN239" s="361"/>
      <c r="AO239" s="361"/>
      <c r="AP239" s="361"/>
      <c r="AQ239" s="361"/>
      <c r="AR239" s="361"/>
      <c r="AS239" s="361"/>
      <c r="AT239" s="361"/>
      <c r="AU239" s="361"/>
      <c r="AV239" s="361"/>
      <c r="AW239" s="361"/>
      <c r="AX239" s="361"/>
      <c r="AY239" s="361"/>
      <c r="AZ239" s="361"/>
      <c r="BA239" s="361"/>
      <c r="BB239" s="361"/>
      <c r="BC239" s="361"/>
      <c r="BD239" s="361"/>
      <c r="BE239" s="361"/>
      <c r="BF239" s="331"/>
      <c r="BG239" s="357"/>
      <c r="BH239" s="336"/>
      <c r="BI239" s="336"/>
      <c r="BJ239" s="358"/>
      <c r="BK239" s="336"/>
      <c r="BL239" s="336"/>
      <c r="BM239" s="336"/>
      <c r="BN239" s="336"/>
      <c r="BO239" s="336"/>
      <c r="BP239" s="336"/>
    </row>
    <row r="240" spans="1:20" ht="12.75" customHeight="1">
      <c r="A240" s="856" t="s">
        <v>413</v>
      </c>
      <c r="B240" s="788" t="s">
        <v>481</v>
      </c>
      <c r="C240" s="815"/>
      <c r="D240" s="815"/>
      <c r="E240" s="789"/>
      <c r="F240" s="1013" t="s">
        <v>116</v>
      </c>
      <c r="G240" s="1014"/>
      <c r="H240" s="1014"/>
      <c r="I240" s="1015"/>
      <c r="J240" s="313"/>
      <c r="K240" s="357"/>
      <c r="L240" s="336"/>
      <c r="M240" s="336"/>
      <c r="N240" s="358"/>
      <c r="O240" s="336"/>
      <c r="P240" s="336"/>
      <c r="Q240" s="336"/>
      <c r="R240" s="336"/>
      <c r="S240" s="391"/>
      <c r="T240" s="336"/>
    </row>
    <row r="241" spans="1:20" ht="12.75" customHeight="1">
      <c r="A241" s="857"/>
      <c r="B241" s="790"/>
      <c r="C241" s="816"/>
      <c r="D241" s="816"/>
      <c r="E241" s="791"/>
      <c r="F241" s="1009" t="s">
        <v>414</v>
      </c>
      <c r="G241" s="1010"/>
      <c r="H241" s="1010"/>
      <c r="I241" s="1011"/>
      <c r="J241" s="313"/>
      <c r="K241" s="357"/>
      <c r="L241" s="336"/>
      <c r="M241" s="336"/>
      <c r="N241" s="358"/>
      <c r="O241" s="336"/>
      <c r="P241" s="336"/>
      <c r="Q241" s="336"/>
      <c r="R241" s="336"/>
      <c r="S241" s="391"/>
      <c r="T241" s="336"/>
    </row>
    <row r="242" spans="1:20" ht="12.75" customHeight="1">
      <c r="A242" s="857"/>
      <c r="B242" s="790"/>
      <c r="C242" s="816"/>
      <c r="D242" s="816"/>
      <c r="E242" s="791"/>
      <c r="F242" s="362">
        <v>0</v>
      </c>
      <c r="G242" s="363" t="s">
        <v>415</v>
      </c>
      <c r="H242" s="363" t="s">
        <v>416</v>
      </c>
      <c r="I242" s="364" t="s">
        <v>417</v>
      </c>
      <c r="J242" s="313"/>
      <c r="K242" s="357"/>
      <c r="L242" s="336"/>
      <c r="M242" s="336"/>
      <c r="N242" s="358"/>
      <c r="O242" s="336"/>
      <c r="P242" s="336"/>
      <c r="Q242" s="336"/>
      <c r="R242" s="336"/>
      <c r="S242" s="391"/>
      <c r="T242" s="336"/>
    </row>
    <row r="243" spans="1:20" ht="12.75" customHeight="1">
      <c r="A243" s="857"/>
      <c r="B243" s="790"/>
      <c r="C243" s="816"/>
      <c r="D243" s="816"/>
      <c r="E243" s="791"/>
      <c r="F243" s="925" t="s">
        <v>418</v>
      </c>
      <c r="G243" s="925" t="s">
        <v>419</v>
      </c>
      <c r="H243" s="925" t="s">
        <v>420</v>
      </c>
      <c r="I243" s="925" t="s">
        <v>428</v>
      </c>
      <c r="J243" s="313"/>
      <c r="K243" s="357"/>
      <c r="L243" s="336"/>
      <c r="M243" s="336"/>
      <c r="N243" s="358"/>
      <c r="O243" s="336"/>
      <c r="P243" s="336"/>
      <c r="Q243" s="336"/>
      <c r="R243" s="336"/>
      <c r="S243" s="391"/>
      <c r="T243" s="336"/>
    </row>
    <row r="244" spans="1:19" ht="12.75" customHeight="1">
      <c r="A244" s="857"/>
      <c r="B244" s="790"/>
      <c r="C244" s="816"/>
      <c r="D244" s="816"/>
      <c r="E244" s="791"/>
      <c r="F244" s="926"/>
      <c r="G244" s="926"/>
      <c r="H244" s="926"/>
      <c r="I244" s="926"/>
      <c r="J244" s="313"/>
      <c r="K244" s="3"/>
      <c r="L244" s="3"/>
      <c r="M244" s="3"/>
      <c r="N244" s="3"/>
      <c r="R244" s="3"/>
      <c r="S244" s="388"/>
    </row>
    <row r="245" spans="1:19" ht="12.75" customHeight="1">
      <c r="A245" s="857"/>
      <c r="B245" s="790"/>
      <c r="C245" s="816"/>
      <c r="D245" s="816"/>
      <c r="E245" s="791"/>
      <c r="F245" s="926"/>
      <c r="G245" s="926"/>
      <c r="H245" s="926"/>
      <c r="I245" s="926"/>
      <c r="J245" s="313"/>
      <c r="K245" s="3"/>
      <c r="L245" s="3"/>
      <c r="M245" s="3"/>
      <c r="N245" s="3"/>
      <c r="R245" s="3"/>
      <c r="S245" s="388"/>
    </row>
    <row r="246" spans="1:19" ht="12.75">
      <c r="A246" s="858"/>
      <c r="B246" s="792"/>
      <c r="C246" s="817"/>
      <c r="D246" s="817"/>
      <c r="E246" s="793"/>
      <c r="F246" s="927"/>
      <c r="G246" s="927"/>
      <c r="H246" s="927"/>
      <c r="I246" s="927"/>
      <c r="J246" s="313"/>
      <c r="K246" s="3"/>
      <c r="L246" s="3"/>
      <c r="M246" s="3"/>
      <c r="N246" s="3"/>
      <c r="R246" s="3"/>
      <c r="S246" s="388"/>
    </row>
    <row r="247" spans="1:19" ht="12.75" customHeight="1">
      <c r="A247" s="997" t="s">
        <v>117</v>
      </c>
      <c r="B247" s="875" t="s">
        <v>506</v>
      </c>
      <c r="C247" s="876"/>
      <c r="D247" s="876"/>
      <c r="E247" s="877"/>
      <c r="F247" s="1016">
        <f>IF(AND(fio&lt;&gt;"",G247="",H247="",I247=""),0,"")</f>
      </c>
      <c r="G247" s="1019"/>
      <c r="H247" s="1019"/>
      <c r="I247" s="1019"/>
      <c r="J247" s="313"/>
      <c r="K247" s="1022">
        <f>MAX(F247:I250)</f>
        <v>0</v>
      </c>
      <c r="L247" s="1020">
        <v>59</v>
      </c>
      <c r="M247" s="1020"/>
      <c r="N247" s="3"/>
      <c r="R247" s="3"/>
      <c r="S247" s="388"/>
    </row>
    <row r="248" spans="1:19" ht="12.75" customHeight="1">
      <c r="A248" s="998"/>
      <c r="B248" s="878"/>
      <c r="C248" s="879"/>
      <c r="D248" s="879"/>
      <c r="E248" s="880"/>
      <c r="F248" s="1017"/>
      <c r="G248" s="918"/>
      <c r="H248" s="918"/>
      <c r="I248" s="918"/>
      <c r="J248" s="313"/>
      <c r="K248" s="1022"/>
      <c r="L248" s="1021"/>
      <c r="M248" s="1021"/>
      <c r="N248" s="3"/>
      <c r="R248" s="3"/>
      <c r="S248" s="388"/>
    </row>
    <row r="249" spans="1:19" ht="12.75" customHeight="1">
      <c r="A249" s="998"/>
      <c r="B249" s="878"/>
      <c r="C249" s="879"/>
      <c r="D249" s="879"/>
      <c r="E249" s="880"/>
      <c r="F249" s="1017"/>
      <c r="G249" s="918"/>
      <c r="H249" s="918"/>
      <c r="I249" s="918"/>
      <c r="J249" s="313"/>
      <c r="K249" s="1022"/>
      <c r="L249" s="1021"/>
      <c r="M249" s="1021"/>
      <c r="N249" s="3"/>
      <c r="R249" s="3"/>
      <c r="S249" s="388"/>
    </row>
    <row r="250" spans="1:19" ht="12.75" customHeight="1">
      <c r="A250" s="999"/>
      <c r="B250" s="881"/>
      <c r="C250" s="882"/>
      <c r="D250" s="882"/>
      <c r="E250" s="883"/>
      <c r="F250" s="1018"/>
      <c r="G250" s="919"/>
      <c r="H250" s="919"/>
      <c r="I250" s="919"/>
      <c r="J250" s="313"/>
      <c r="K250" s="1022"/>
      <c r="L250" s="1021"/>
      <c r="M250" s="1021"/>
      <c r="N250" s="3"/>
      <c r="R250" s="3"/>
      <c r="S250" s="388"/>
    </row>
    <row r="251" spans="1:19" ht="12.75" customHeight="1">
      <c r="A251" s="997" t="s">
        <v>118</v>
      </c>
      <c r="B251" s="875" t="s">
        <v>483</v>
      </c>
      <c r="C251" s="876"/>
      <c r="D251" s="876"/>
      <c r="E251" s="877"/>
      <c r="F251" s="1016">
        <f>IF(AND(fio&lt;&gt;"",G251="",H251="",I251=""),0,"")</f>
      </c>
      <c r="G251" s="1019"/>
      <c r="H251" s="1019"/>
      <c r="I251" s="1019"/>
      <c r="J251" s="313"/>
      <c r="K251" s="1022">
        <f>MAX(F251:I255)</f>
        <v>0</v>
      </c>
      <c r="L251" s="1020">
        <v>60</v>
      </c>
      <c r="M251" s="1020"/>
      <c r="N251" s="91"/>
      <c r="R251" s="3"/>
      <c r="S251" s="388"/>
    </row>
    <row r="252" spans="1:19" ht="12.75" customHeight="1">
      <c r="A252" s="998"/>
      <c r="B252" s="878"/>
      <c r="C252" s="879"/>
      <c r="D252" s="879"/>
      <c r="E252" s="880"/>
      <c r="F252" s="1017"/>
      <c r="G252" s="918"/>
      <c r="H252" s="918"/>
      <c r="I252" s="918"/>
      <c r="J252" s="313"/>
      <c r="K252" s="1022"/>
      <c r="L252" s="1021"/>
      <c r="M252" s="1021"/>
      <c r="N252" s="91"/>
      <c r="R252" s="3"/>
      <c r="S252" s="388"/>
    </row>
    <row r="253" spans="1:19" ht="12.75" customHeight="1">
      <c r="A253" s="998"/>
      <c r="B253" s="878"/>
      <c r="C253" s="879"/>
      <c r="D253" s="879"/>
      <c r="E253" s="880"/>
      <c r="F253" s="1017"/>
      <c r="G253" s="918"/>
      <c r="H253" s="918"/>
      <c r="I253" s="918"/>
      <c r="J253" s="313"/>
      <c r="K253" s="1022"/>
      <c r="L253" s="1021"/>
      <c r="M253" s="1021"/>
      <c r="N253" s="91"/>
      <c r="R253" s="3"/>
      <c r="S253" s="388"/>
    </row>
    <row r="254" spans="1:19" ht="12.75" customHeight="1">
      <c r="A254" s="998"/>
      <c r="B254" s="878"/>
      <c r="C254" s="879"/>
      <c r="D254" s="879"/>
      <c r="E254" s="880"/>
      <c r="F254" s="1017"/>
      <c r="G254" s="918"/>
      <c r="H254" s="918"/>
      <c r="I254" s="918"/>
      <c r="J254" s="313"/>
      <c r="K254" s="1022"/>
      <c r="L254" s="1021"/>
      <c r="M254" s="1021"/>
      <c r="N254" s="91"/>
      <c r="R254" s="3"/>
      <c r="S254" s="388"/>
    </row>
    <row r="255" spans="1:19" ht="12.75" customHeight="1">
      <c r="A255" s="999"/>
      <c r="B255" s="881"/>
      <c r="C255" s="882"/>
      <c r="D255" s="882"/>
      <c r="E255" s="883"/>
      <c r="F255" s="1018"/>
      <c r="G255" s="919"/>
      <c r="H255" s="919"/>
      <c r="I255" s="919"/>
      <c r="J255" s="313"/>
      <c r="K255" s="1022"/>
      <c r="L255" s="1021"/>
      <c r="M255" s="1021"/>
      <c r="N255" s="91"/>
      <c r="R255" s="3"/>
      <c r="S255" s="388"/>
    </row>
    <row r="256" spans="1:19" ht="12.75" customHeight="1">
      <c r="A256" s="997" t="s">
        <v>119</v>
      </c>
      <c r="B256" s="875" t="s">
        <v>421</v>
      </c>
      <c r="C256" s="876"/>
      <c r="D256" s="876"/>
      <c r="E256" s="877"/>
      <c r="F256" s="1016">
        <f>IF(AND(fio&lt;&gt;"",G256="",H256="",I256=""),0,"")</f>
      </c>
      <c r="G256" s="1019"/>
      <c r="H256" s="1019"/>
      <c r="I256" s="1019"/>
      <c r="J256" s="313"/>
      <c r="K256" s="1022">
        <f>MAX(F256:I259)</f>
        <v>0</v>
      </c>
      <c r="L256" s="1020">
        <v>60</v>
      </c>
      <c r="M256" s="1020"/>
      <c r="N256" s="91"/>
      <c r="R256" s="3"/>
      <c r="S256" s="388"/>
    </row>
    <row r="257" spans="1:19" ht="12.75" customHeight="1">
      <c r="A257" s="998"/>
      <c r="B257" s="878"/>
      <c r="C257" s="879"/>
      <c r="D257" s="879"/>
      <c r="E257" s="880"/>
      <c r="F257" s="1017"/>
      <c r="G257" s="918"/>
      <c r="H257" s="918"/>
      <c r="I257" s="918"/>
      <c r="J257" s="313"/>
      <c r="K257" s="1022"/>
      <c r="L257" s="1021"/>
      <c r="M257" s="1021"/>
      <c r="N257" s="91"/>
      <c r="R257" s="3"/>
      <c r="S257" s="388"/>
    </row>
    <row r="258" spans="1:19" ht="12.75" customHeight="1">
      <c r="A258" s="998"/>
      <c r="B258" s="878"/>
      <c r="C258" s="879"/>
      <c r="D258" s="879"/>
      <c r="E258" s="880"/>
      <c r="F258" s="1017"/>
      <c r="G258" s="918"/>
      <c r="H258" s="918"/>
      <c r="I258" s="918"/>
      <c r="J258" s="313"/>
      <c r="K258" s="1022"/>
      <c r="L258" s="1021"/>
      <c r="M258" s="1021"/>
      <c r="N258" s="91"/>
      <c r="R258" s="3"/>
      <c r="S258" s="388"/>
    </row>
    <row r="259" spans="1:19" ht="12.75" customHeight="1">
      <c r="A259" s="999"/>
      <c r="B259" s="881"/>
      <c r="C259" s="882"/>
      <c r="D259" s="882"/>
      <c r="E259" s="883"/>
      <c r="F259" s="1018"/>
      <c r="G259" s="919"/>
      <c r="H259" s="919"/>
      <c r="I259" s="919"/>
      <c r="J259" s="313"/>
      <c r="K259" s="1022"/>
      <c r="L259" s="1023"/>
      <c r="M259" s="1023"/>
      <c r="N259" s="91"/>
      <c r="R259" s="3"/>
      <c r="S259" s="388"/>
    </row>
    <row r="260" spans="1:19" ht="12.75" customHeight="1">
      <c r="A260" s="997" t="s">
        <v>120</v>
      </c>
      <c r="B260" s="875" t="s">
        <v>422</v>
      </c>
      <c r="C260" s="876"/>
      <c r="D260" s="876"/>
      <c r="E260" s="877"/>
      <c r="F260" s="1016">
        <f>IF(AND(fio&lt;&gt;"",G260="",H260="",I260=""),0,"")</f>
      </c>
      <c r="G260" s="1019"/>
      <c r="H260" s="1019"/>
      <c r="I260" s="1019"/>
      <c r="J260" s="313"/>
      <c r="K260" s="1022">
        <f>MAX(F260:I263)</f>
        <v>0</v>
      </c>
      <c r="L260" s="1020">
        <v>60</v>
      </c>
      <c r="M260" s="1020"/>
      <c r="N260" s="91"/>
      <c r="R260" s="3"/>
      <c r="S260" s="388"/>
    </row>
    <row r="261" spans="1:19" ht="12.75" customHeight="1">
      <c r="A261" s="998"/>
      <c r="B261" s="878"/>
      <c r="C261" s="879"/>
      <c r="D261" s="879"/>
      <c r="E261" s="880"/>
      <c r="F261" s="1017"/>
      <c r="G261" s="918"/>
      <c r="H261" s="918"/>
      <c r="I261" s="918"/>
      <c r="J261" s="313"/>
      <c r="K261" s="1022"/>
      <c r="L261" s="1021"/>
      <c r="M261" s="1021"/>
      <c r="N261" s="91"/>
      <c r="R261" s="3"/>
      <c r="S261" s="388"/>
    </row>
    <row r="262" spans="1:19" ht="12.75" customHeight="1">
      <c r="A262" s="998"/>
      <c r="B262" s="878"/>
      <c r="C262" s="879"/>
      <c r="D262" s="879"/>
      <c r="E262" s="880"/>
      <c r="F262" s="1017"/>
      <c r="G262" s="918"/>
      <c r="H262" s="918"/>
      <c r="I262" s="918"/>
      <c r="J262" s="313"/>
      <c r="K262" s="1022"/>
      <c r="L262" s="1021"/>
      <c r="M262" s="1021"/>
      <c r="N262" s="91"/>
      <c r="R262" s="3"/>
      <c r="S262" s="388"/>
    </row>
    <row r="263" spans="1:19" ht="12.75" customHeight="1">
      <c r="A263" s="999"/>
      <c r="B263" s="881"/>
      <c r="C263" s="882"/>
      <c r="D263" s="882"/>
      <c r="E263" s="883"/>
      <c r="F263" s="1018"/>
      <c r="G263" s="919"/>
      <c r="H263" s="919"/>
      <c r="I263" s="919"/>
      <c r="J263" s="313"/>
      <c r="K263" s="1022"/>
      <c r="L263" s="1023"/>
      <c r="M263" s="1023"/>
      <c r="N263" s="91"/>
      <c r="R263" s="3"/>
      <c r="S263" s="388"/>
    </row>
    <row r="264" spans="1:68" s="332" customFormat="1" ht="3.75" customHeight="1">
      <c r="A264" s="360"/>
      <c r="B264" s="360"/>
      <c r="C264" s="360"/>
      <c r="D264" s="361"/>
      <c r="E264" s="361"/>
      <c r="F264" s="361"/>
      <c r="G264" s="361"/>
      <c r="H264" s="361"/>
      <c r="I264" s="361"/>
      <c r="J264" s="313"/>
      <c r="K264" s="361"/>
      <c r="L264" s="361"/>
      <c r="M264" s="361"/>
      <c r="N264" s="361"/>
      <c r="O264" s="361"/>
      <c r="P264" s="361"/>
      <c r="Q264" s="361"/>
      <c r="R264" s="361"/>
      <c r="S264" s="395"/>
      <c r="T264" s="361"/>
      <c r="U264" s="361"/>
      <c r="V264" s="361"/>
      <c r="W264" s="361"/>
      <c r="X264" s="361"/>
      <c r="Y264" s="361"/>
      <c r="Z264" s="361"/>
      <c r="AA264" s="361"/>
      <c r="AB264" s="361"/>
      <c r="AC264" s="361"/>
      <c r="AD264" s="361"/>
      <c r="AE264" s="361"/>
      <c r="AF264" s="361"/>
      <c r="AG264" s="361"/>
      <c r="AH264" s="361"/>
      <c r="AI264" s="361"/>
      <c r="AJ264" s="361"/>
      <c r="AK264" s="361"/>
      <c r="AL264" s="361"/>
      <c r="AM264" s="361"/>
      <c r="AN264" s="361"/>
      <c r="AO264" s="361"/>
      <c r="AP264" s="361"/>
      <c r="AQ264" s="361"/>
      <c r="AR264" s="361"/>
      <c r="AS264" s="361"/>
      <c r="AT264" s="361"/>
      <c r="AU264" s="361"/>
      <c r="AV264" s="361"/>
      <c r="AW264" s="361"/>
      <c r="AX264" s="361"/>
      <c r="AY264" s="361"/>
      <c r="AZ264" s="361"/>
      <c r="BA264" s="361"/>
      <c r="BB264" s="361"/>
      <c r="BC264" s="361"/>
      <c r="BD264" s="361"/>
      <c r="BE264" s="361"/>
      <c r="BF264" s="361"/>
      <c r="BG264" s="361"/>
      <c r="BH264" s="361"/>
      <c r="BI264" s="361"/>
      <c r="BJ264" s="361"/>
      <c r="BK264" s="336"/>
      <c r="BL264" s="336"/>
      <c r="BM264" s="336"/>
      <c r="BN264" s="336"/>
      <c r="BO264" s="336"/>
      <c r="BP264" s="336"/>
    </row>
    <row r="265" spans="1:62" s="336" customFormat="1" ht="21" customHeight="1">
      <c r="A265" s="360" t="s">
        <v>429</v>
      </c>
      <c r="B265" s="1028" t="s">
        <v>430</v>
      </c>
      <c r="C265" s="1028"/>
      <c r="D265" s="1028"/>
      <c r="E265" s="1028"/>
      <c r="F265" s="1028"/>
      <c r="G265" s="1028"/>
      <c r="H265" s="1028"/>
      <c r="I265" s="1028"/>
      <c r="J265" s="313"/>
      <c r="K265" s="361"/>
      <c r="L265" s="361"/>
      <c r="M265" s="361"/>
      <c r="N265" s="361"/>
      <c r="O265" s="361"/>
      <c r="P265" s="361"/>
      <c r="Q265" s="361"/>
      <c r="R265" s="361"/>
      <c r="S265" s="395"/>
      <c r="T265" s="361"/>
      <c r="U265" s="361"/>
      <c r="V265" s="361"/>
      <c r="W265" s="361"/>
      <c r="X265" s="361"/>
      <c r="Y265" s="361"/>
      <c r="Z265" s="361"/>
      <c r="AA265" s="361"/>
      <c r="AB265" s="361"/>
      <c r="AC265" s="361"/>
      <c r="AD265" s="361"/>
      <c r="AE265" s="361"/>
      <c r="AF265" s="361"/>
      <c r="AG265" s="361"/>
      <c r="AH265" s="361"/>
      <c r="AI265" s="361"/>
      <c r="AJ265" s="361"/>
      <c r="AK265" s="361"/>
      <c r="AL265" s="361"/>
      <c r="AM265" s="361"/>
      <c r="AN265" s="361"/>
      <c r="AO265" s="361"/>
      <c r="AP265" s="361"/>
      <c r="AQ265" s="361"/>
      <c r="AR265" s="361"/>
      <c r="AS265" s="361"/>
      <c r="AT265" s="361"/>
      <c r="AU265" s="361"/>
      <c r="AV265" s="361"/>
      <c r="AW265" s="361"/>
      <c r="AX265" s="361"/>
      <c r="AY265" s="361"/>
      <c r="AZ265" s="361"/>
      <c r="BA265" s="361"/>
      <c r="BB265" s="361"/>
      <c r="BC265" s="361"/>
      <c r="BD265" s="361"/>
      <c r="BE265" s="361"/>
      <c r="BF265" s="331"/>
      <c r="BG265" s="357"/>
      <c r="BJ265" s="358"/>
    </row>
    <row r="266" spans="1:62" ht="12.75" customHeight="1">
      <c r="A266" s="1024" t="s">
        <v>482</v>
      </c>
      <c r="B266" s="1024"/>
      <c r="C266" s="1024"/>
      <c r="D266" s="1024"/>
      <c r="E266" s="1024"/>
      <c r="F266" s="1024"/>
      <c r="G266" s="1024"/>
      <c r="H266" s="1024"/>
      <c r="I266" s="1024"/>
      <c r="J266" s="313"/>
      <c r="K266" s="3"/>
      <c r="L266" s="3"/>
      <c r="M266" s="3"/>
      <c r="N266" s="3"/>
      <c r="R266" s="3"/>
      <c r="S266" s="388"/>
      <c r="BF266" s="331"/>
      <c r="BG266" s="32"/>
      <c r="BH266" s="32"/>
      <c r="BI266" s="32"/>
      <c r="BJ266" s="91"/>
    </row>
    <row r="267" spans="1:68" s="332" customFormat="1" ht="6" customHeight="1">
      <c r="A267" s="360"/>
      <c r="B267" s="360"/>
      <c r="C267" s="360"/>
      <c r="D267" s="361"/>
      <c r="E267" s="361"/>
      <c r="F267" s="361"/>
      <c r="G267" s="361"/>
      <c r="H267" s="361"/>
      <c r="I267" s="361"/>
      <c r="J267" s="313"/>
      <c r="K267" s="361"/>
      <c r="L267" s="361"/>
      <c r="M267" s="361"/>
      <c r="N267" s="361"/>
      <c r="O267" s="361"/>
      <c r="P267" s="361"/>
      <c r="Q267" s="361"/>
      <c r="R267" s="361"/>
      <c r="S267" s="395"/>
      <c r="T267" s="361"/>
      <c r="U267" s="361"/>
      <c r="V267" s="361"/>
      <c r="W267" s="361"/>
      <c r="X267" s="361"/>
      <c r="Y267" s="361"/>
      <c r="Z267" s="361"/>
      <c r="AA267" s="361"/>
      <c r="AB267" s="361"/>
      <c r="AC267" s="361"/>
      <c r="AD267" s="361"/>
      <c r="AE267" s="361"/>
      <c r="AF267" s="361"/>
      <c r="AG267" s="361"/>
      <c r="AH267" s="361"/>
      <c r="AI267" s="361"/>
      <c r="AJ267" s="361"/>
      <c r="AK267" s="361"/>
      <c r="AL267" s="361"/>
      <c r="AM267" s="361"/>
      <c r="AN267" s="361"/>
      <c r="AO267" s="361"/>
      <c r="AP267" s="361"/>
      <c r="AQ267" s="361"/>
      <c r="AR267" s="361"/>
      <c r="AS267" s="361"/>
      <c r="AT267" s="361"/>
      <c r="AU267" s="361"/>
      <c r="AV267" s="361"/>
      <c r="AW267" s="361"/>
      <c r="AX267" s="361"/>
      <c r="AY267" s="361"/>
      <c r="AZ267" s="361"/>
      <c r="BA267" s="361"/>
      <c r="BB267" s="361"/>
      <c r="BC267" s="361"/>
      <c r="BD267" s="361"/>
      <c r="BE267" s="361"/>
      <c r="BF267" s="361"/>
      <c r="BG267" s="361"/>
      <c r="BH267" s="361"/>
      <c r="BI267" s="361"/>
      <c r="BJ267" s="361"/>
      <c r="BK267" s="336"/>
      <c r="BL267" s="336"/>
      <c r="BM267" s="336"/>
      <c r="BN267" s="336"/>
      <c r="BO267" s="336"/>
      <c r="BP267" s="336"/>
    </row>
    <row r="268" spans="1:20" ht="12.75" customHeight="1">
      <c r="A268" s="856" t="s">
        <v>413</v>
      </c>
      <c r="B268" s="800" t="s">
        <v>423</v>
      </c>
      <c r="C268" s="852"/>
      <c r="D268" s="852"/>
      <c r="E268" s="853"/>
      <c r="F268" s="1013" t="s">
        <v>116</v>
      </c>
      <c r="G268" s="1014"/>
      <c r="H268" s="1014"/>
      <c r="I268" s="1015"/>
      <c r="J268" s="313"/>
      <c r="K268" s="357"/>
      <c r="L268" s="336"/>
      <c r="M268" s="336"/>
      <c r="N268" s="358"/>
      <c r="O268" s="336"/>
      <c r="P268" s="336"/>
      <c r="Q268" s="336"/>
      <c r="R268" s="336"/>
      <c r="S268" s="391"/>
      <c r="T268" s="336"/>
    </row>
    <row r="269" spans="1:20" ht="12.75" customHeight="1">
      <c r="A269" s="857"/>
      <c r="B269" s="1025"/>
      <c r="C269" s="1026"/>
      <c r="D269" s="1026"/>
      <c r="E269" s="1027"/>
      <c r="F269" s="1009" t="s">
        <v>424</v>
      </c>
      <c r="G269" s="1010"/>
      <c r="H269" s="1010"/>
      <c r="I269" s="1011"/>
      <c r="J269" s="313"/>
      <c r="K269" s="357"/>
      <c r="L269" s="336"/>
      <c r="M269" s="336"/>
      <c r="N269" s="358"/>
      <c r="O269" s="336"/>
      <c r="P269" s="336"/>
      <c r="Q269" s="336"/>
      <c r="R269" s="336"/>
      <c r="S269" s="391"/>
      <c r="T269" s="336"/>
    </row>
    <row r="270" spans="1:20" ht="12.75" customHeight="1">
      <c r="A270" s="857"/>
      <c r="B270" s="1025"/>
      <c r="C270" s="1026"/>
      <c r="D270" s="1026"/>
      <c r="E270" s="1027"/>
      <c r="F270" s="362">
        <v>0</v>
      </c>
      <c r="G270" s="363" t="s">
        <v>425</v>
      </c>
      <c r="H270" s="363" t="s">
        <v>426</v>
      </c>
      <c r="I270" s="364" t="s">
        <v>427</v>
      </c>
      <c r="J270" s="313"/>
      <c r="K270" s="357"/>
      <c r="L270" s="336"/>
      <c r="M270" s="336"/>
      <c r="N270" s="358"/>
      <c r="O270" s="336"/>
      <c r="P270" s="336"/>
      <c r="Q270" s="336"/>
      <c r="R270" s="336"/>
      <c r="S270" s="391"/>
      <c r="T270" s="336"/>
    </row>
    <row r="271" spans="1:20" ht="12.75" customHeight="1">
      <c r="A271" s="857"/>
      <c r="B271" s="780" t="s">
        <v>476</v>
      </c>
      <c r="C271" s="810"/>
      <c r="D271" s="810"/>
      <c r="E271" s="781"/>
      <c r="F271" s="925" t="s">
        <v>418</v>
      </c>
      <c r="G271" s="925" t="s">
        <v>419</v>
      </c>
      <c r="H271" s="925" t="s">
        <v>420</v>
      </c>
      <c r="I271" s="925" t="s">
        <v>428</v>
      </c>
      <c r="J271" s="313"/>
      <c r="K271" s="357"/>
      <c r="L271" s="336"/>
      <c r="M271" s="336"/>
      <c r="N271" s="358"/>
      <c r="O271" s="336"/>
      <c r="P271" s="336"/>
      <c r="Q271" s="336"/>
      <c r="R271" s="336"/>
      <c r="S271" s="391"/>
      <c r="T271" s="336"/>
    </row>
    <row r="272" spans="1:20" ht="12.75" customHeight="1">
      <c r="A272" s="857"/>
      <c r="B272" s="780"/>
      <c r="C272" s="810"/>
      <c r="D272" s="810"/>
      <c r="E272" s="781"/>
      <c r="F272" s="926"/>
      <c r="G272" s="926"/>
      <c r="H272" s="926"/>
      <c r="I272" s="926"/>
      <c r="J272" s="313"/>
      <c r="K272" s="357"/>
      <c r="L272" s="336"/>
      <c r="M272" s="336"/>
      <c r="N272" s="358"/>
      <c r="O272" s="336"/>
      <c r="P272" s="336"/>
      <c r="Q272" s="336"/>
      <c r="R272" s="336"/>
      <c r="S272" s="391"/>
      <c r="T272" s="336"/>
    </row>
    <row r="273" spans="1:19" ht="12.75" customHeight="1">
      <c r="A273" s="857"/>
      <c r="B273" s="780"/>
      <c r="C273" s="810"/>
      <c r="D273" s="810"/>
      <c r="E273" s="781"/>
      <c r="F273" s="926"/>
      <c r="G273" s="926"/>
      <c r="H273" s="926"/>
      <c r="I273" s="926"/>
      <c r="J273" s="313"/>
      <c r="K273" s="3"/>
      <c r="L273" s="3"/>
      <c r="M273" s="3"/>
      <c r="N273" s="3"/>
      <c r="R273" s="3"/>
      <c r="S273" s="388"/>
    </row>
    <row r="274" spans="1:19" ht="12.75">
      <c r="A274" s="858"/>
      <c r="B274" s="782"/>
      <c r="C274" s="784"/>
      <c r="D274" s="784"/>
      <c r="E274" s="783"/>
      <c r="F274" s="927"/>
      <c r="G274" s="927"/>
      <c r="H274" s="927"/>
      <c r="I274" s="927"/>
      <c r="J274" s="313"/>
      <c r="K274" s="3"/>
      <c r="L274" s="3"/>
      <c r="M274" s="3"/>
      <c r="N274" s="3"/>
      <c r="R274" s="3"/>
      <c r="S274" s="388"/>
    </row>
    <row r="275" spans="1:19" ht="12.75" customHeight="1">
      <c r="A275" s="997" t="s">
        <v>117</v>
      </c>
      <c r="B275" s="1000"/>
      <c r="C275" s="1001"/>
      <c r="D275" s="1001"/>
      <c r="E275" s="1002"/>
      <c r="F275" s="756">
        <f>IF(AND(fio&lt;&gt;"",G275="",H275="",I275=""),0,IF($E$50="первая","Не  запол- нять на первую !",""))</f>
      </c>
      <c r="G275" s="1019"/>
      <c r="H275" s="1019"/>
      <c r="I275" s="1019"/>
      <c r="J275" s="313"/>
      <c r="K275" s="1022">
        <f>IF($E$50="первая",0,MAX(F275:I279))</f>
        <v>0</v>
      </c>
      <c r="L275" s="1020">
        <v>100</v>
      </c>
      <c r="M275" s="1020"/>
      <c r="N275" s="3"/>
      <c r="R275" s="3"/>
      <c r="S275" s="388"/>
    </row>
    <row r="276" spans="1:19" ht="12.75" customHeight="1">
      <c r="A276" s="998"/>
      <c r="B276" s="1003"/>
      <c r="C276" s="1004"/>
      <c r="D276" s="1004"/>
      <c r="E276" s="1005"/>
      <c r="F276" s="916"/>
      <c r="G276" s="918"/>
      <c r="H276" s="918"/>
      <c r="I276" s="918"/>
      <c r="J276" s="313"/>
      <c r="K276" s="1022"/>
      <c r="L276" s="1021"/>
      <c r="M276" s="1021"/>
      <c r="N276" s="3"/>
      <c r="R276" s="3"/>
      <c r="S276" s="388"/>
    </row>
    <row r="277" spans="1:19" ht="12.75" customHeight="1">
      <c r="A277" s="998"/>
      <c r="B277" s="1003"/>
      <c r="C277" s="1004"/>
      <c r="D277" s="1004"/>
      <c r="E277" s="1005"/>
      <c r="F277" s="916"/>
      <c r="G277" s="918"/>
      <c r="H277" s="918"/>
      <c r="I277" s="918"/>
      <c r="J277" s="313"/>
      <c r="K277" s="1022"/>
      <c r="L277" s="1021"/>
      <c r="M277" s="1021"/>
      <c r="N277" s="3"/>
      <c r="R277" s="3"/>
      <c r="S277" s="388"/>
    </row>
    <row r="278" spans="1:19" ht="12.75" customHeight="1">
      <c r="A278" s="998"/>
      <c r="B278" s="1003"/>
      <c r="C278" s="1004"/>
      <c r="D278" s="1004"/>
      <c r="E278" s="1005"/>
      <c r="F278" s="916"/>
      <c r="G278" s="918"/>
      <c r="H278" s="918"/>
      <c r="I278" s="918"/>
      <c r="J278" s="313"/>
      <c r="K278" s="1022"/>
      <c r="L278" s="1021"/>
      <c r="M278" s="1021"/>
      <c r="N278" s="3"/>
      <c r="R278" s="3"/>
      <c r="S278" s="388"/>
    </row>
    <row r="279" spans="1:19" ht="12.75" customHeight="1">
      <c r="A279" s="999"/>
      <c r="B279" s="1006"/>
      <c r="C279" s="1007"/>
      <c r="D279" s="1007"/>
      <c r="E279" s="1008"/>
      <c r="F279" s="757"/>
      <c r="G279" s="919"/>
      <c r="H279" s="919"/>
      <c r="I279" s="919"/>
      <c r="J279" s="313"/>
      <c r="K279" s="1022"/>
      <c r="L279" s="1021"/>
      <c r="M279" s="1021"/>
      <c r="N279" s="3"/>
      <c r="R279" s="3"/>
      <c r="S279" s="388"/>
    </row>
    <row r="280" spans="1:19" ht="12.75" customHeight="1">
      <c r="A280" s="997" t="s">
        <v>118</v>
      </c>
      <c r="B280" s="1000"/>
      <c r="C280" s="1001"/>
      <c r="D280" s="1001"/>
      <c r="E280" s="1002"/>
      <c r="F280" s="756">
        <f>IF(AND(fio&lt;&gt;"",G280="",H280="",I280=""),0,IF($E$50="первая","Не  запол- нять на первую !",""))</f>
      </c>
      <c r="G280" s="1019"/>
      <c r="H280" s="1019"/>
      <c r="I280" s="1019"/>
      <c r="J280" s="313"/>
      <c r="K280" s="1022">
        <f>IF($E$50="первая",0,MAX(F280:I284))</f>
        <v>0</v>
      </c>
      <c r="L280" s="1020">
        <v>100</v>
      </c>
      <c r="M280" s="1020"/>
      <c r="N280" s="91"/>
      <c r="R280" s="3"/>
      <c r="S280" s="388"/>
    </row>
    <row r="281" spans="1:19" ht="12.75" customHeight="1">
      <c r="A281" s="998"/>
      <c r="B281" s="1003"/>
      <c r="C281" s="1004"/>
      <c r="D281" s="1004"/>
      <c r="E281" s="1005"/>
      <c r="F281" s="916"/>
      <c r="G281" s="918"/>
      <c r="H281" s="918"/>
      <c r="I281" s="918"/>
      <c r="J281" s="313"/>
      <c r="K281" s="1022"/>
      <c r="L281" s="1021"/>
      <c r="M281" s="1021"/>
      <c r="N281" s="91"/>
      <c r="R281" s="3"/>
      <c r="S281" s="388"/>
    </row>
    <row r="282" spans="1:19" ht="12.75" customHeight="1">
      <c r="A282" s="998"/>
      <c r="B282" s="1003"/>
      <c r="C282" s="1004"/>
      <c r="D282" s="1004"/>
      <c r="E282" s="1005"/>
      <c r="F282" s="916"/>
      <c r="G282" s="918"/>
      <c r="H282" s="918"/>
      <c r="I282" s="918"/>
      <c r="J282" s="313"/>
      <c r="K282" s="1022"/>
      <c r="L282" s="1021"/>
      <c r="M282" s="1021"/>
      <c r="N282" s="91"/>
      <c r="R282" s="3"/>
      <c r="S282" s="388"/>
    </row>
    <row r="283" spans="1:19" ht="12.75" customHeight="1">
      <c r="A283" s="998"/>
      <c r="B283" s="1003"/>
      <c r="C283" s="1004"/>
      <c r="D283" s="1004"/>
      <c r="E283" s="1005"/>
      <c r="F283" s="916"/>
      <c r="G283" s="918"/>
      <c r="H283" s="918"/>
      <c r="I283" s="918"/>
      <c r="J283" s="313"/>
      <c r="K283" s="1022"/>
      <c r="L283" s="1021"/>
      <c r="M283" s="1021"/>
      <c r="N283" s="91"/>
      <c r="R283" s="3"/>
      <c r="S283" s="388"/>
    </row>
    <row r="284" spans="1:19" ht="12.75" customHeight="1">
      <c r="A284" s="999"/>
      <c r="B284" s="1006"/>
      <c r="C284" s="1007"/>
      <c r="D284" s="1007"/>
      <c r="E284" s="1008"/>
      <c r="F284" s="757"/>
      <c r="G284" s="919"/>
      <c r="H284" s="919"/>
      <c r="I284" s="919"/>
      <c r="J284" s="313"/>
      <c r="K284" s="1022"/>
      <c r="L284" s="1021"/>
      <c r="M284" s="1021"/>
      <c r="N284" s="91"/>
      <c r="R284" s="3"/>
      <c r="S284" s="388"/>
    </row>
    <row r="285" spans="1:19" ht="12.75" customHeight="1">
      <c r="A285" s="997" t="s">
        <v>119</v>
      </c>
      <c r="B285" s="1000"/>
      <c r="C285" s="1001"/>
      <c r="D285" s="1001"/>
      <c r="E285" s="1002"/>
      <c r="F285" s="756">
        <f>IF(AND(fio&lt;&gt;"",G285="",H285="",I285=""),0,IF($E$50="первая","Не  запол- нять на первую !",""))</f>
      </c>
      <c r="G285" s="1019"/>
      <c r="H285" s="1019"/>
      <c r="I285" s="1019"/>
      <c r="J285" s="313"/>
      <c r="K285" s="1022">
        <f>IF($E$50="первая",0,MAX(F285:I289))</f>
        <v>0</v>
      </c>
      <c r="L285" s="1020">
        <v>100</v>
      </c>
      <c r="M285" s="1020"/>
      <c r="N285" s="91"/>
      <c r="R285" s="3"/>
      <c r="S285" s="388"/>
    </row>
    <row r="286" spans="1:19" ht="12.75" customHeight="1">
      <c r="A286" s="998"/>
      <c r="B286" s="1003"/>
      <c r="C286" s="1004"/>
      <c r="D286" s="1004"/>
      <c r="E286" s="1005"/>
      <c r="F286" s="916"/>
      <c r="G286" s="918"/>
      <c r="H286" s="918"/>
      <c r="I286" s="918"/>
      <c r="J286" s="313"/>
      <c r="K286" s="1022"/>
      <c r="L286" s="1021"/>
      <c r="M286" s="1021"/>
      <c r="N286" s="91"/>
      <c r="R286" s="3"/>
      <c r="S286" s="388"/>
    </row>
    <row r="287" spans="1:19" ht="12.75" customHeight="1">
      <c r="A287" s="998"/>
      <c r="B287" s="1003"/>
      <c r="C287" s="1004"/>
      <c r="D287" s="1004"/>
      <c r="E287" s="1005"/>
      <c r="F287" s="916"/>
      <c r="G287" s="918"/>
      <c r="H287" s="918"/>
      <c r="I287" s="918"/>
      <c r="J287" s="313"/>
      <c r="K287" s="1022"/>
      <c r="L287" s="1021"/>
      <c r="M287" s="1021"/>
      <c r="N287" s="91"/>
      <c r="R287" s="3"/>
      <c r="S287" s="388"/>
    </row>
    <row r="288" spans="1:19" ht="12.75" customHeight="1">
      <c r="A288" s="998"/>
      <c r="B288" s="1003"/>
      <c r="C288" s="1004"/>
      <c r="D288" s="1004"/>
      <c r="E288" s="1005"/>
      <c r="F288" s="916"/>
      <c r="G288" s="918"/>
      <c r="H288" s="918"/>
      <c r="I288" s="918"/>
      <c r="J288" s="313"/>
      <c r="K288" s="1022"/>
      <c r="L288" s="1021"/>
      <c r="M288" s="1021"/>
      <c r="N288" s="91"/>
      <c r="R288" s="3"/>
      <c r="S288" s="388"/>
    </row>
    <row r="289" spans="1:19" ht="12.75" customHeight="1">
      <c r="A289" s="999"/>
      <c r="B289" s="1006"/>
      <c r="C289" s="1007"/>
      <c r="D289" s="1007"/>
      <c r="E289" s="1008"/>
      <c r="F289" s="757"/>
      <c r="G289" s="919"/>
      <c r="H289" s="919"/>
      <c r="I289" s="919"/>
      <c r="J289" s="313"/>
      <c r="K289" s="1022"/>
      <c r="L289" s="1021"/>
      <c r="M289" s="1023"/>
      <c r="N289" s="91"/>
      <c r="R289" s="3"/>
      <c r="S289" s="388"/>
    </row>
    <row r="290" spans="1:19" ht="14.25" customHeight="1">
      <c r="A290" s="997" t="s">
        <v>120</v>
      </c>
      <c r="B290" s="1000"/>
      <c r="C290" s="1001"/>
      <c r="D290" s="1001"/>
      <c r="E290" s="1002"/>
      <c r="F290" s="756">
        <f>IF(AND(fio&lt;&gt;"",G290="",H290="",I290=""),0,IF($E$50="первая","Не  запол- нять на первую !",""))</f>
      </c>
      <c r="G290" s="1019"/>
      <c r="H290" s="1019"/>
      <c r="I290" s="1019"/>
      <c r="J290" s="313"/>
      <c r="K290" s="1022">
        <f>IF($E$50="первая",0,MAX(F290:I294))</f>
        <v>0</v>
      </c>
      <c r="L290" s="1020">
        <v>100</v>
      </c>
      <c r="M290" s="1020"/>
      <c r="N290" s="91"/>
      <c r="R290" s="3"/>
      <c r="S290" s="388"/>
    </row>
    <row r="291" spans="1:19" ht="12.75" customHeight="1">
      <c r="A291" s="998"/>
      <c r="B291" s="1003"/>
      <c r="C291" s="1004"/>
      <c r="D291" s="1004"/>
      <c r="E291" s="1005"/>
      <c r="F291" s="916"/>
      <c r="G291" s="918"/>
      <c r="H291" s="918"/>
      <c r="I291" s="918"/>
      <c r="J291" s="313"/>
      <c r="K291" s="1022"/>
      <c r="L291" s="1021"/>
      <c r="M291" s="1021"/>
      <c r="N291" s="91"/>
      <c r="R291" s="3"/>
      <c r="S291" s="388"/>
    </row>
    <row r="292" spans="1:19" ht="12.75" customHeight="1">
      <c r="A292" s="998"/>
      <c r="B292" s="1003"/>
      <c r="C292" s="1004"/>
      <c r="D292" s="1004"/>
      <c r="E292" s="1005"/>
      <c r="F292" s="916"/>
      <c r="G292" s="918"/>
      <c r="H292" s="918"/>
      <c r="I292" s="918"/>
      <c r="J292" s="313"/>
      <c r="K292" s="1022"/>
      <c r="L292" s="1021"/>
      <c r="M292" s="1021"/>
      <c r="N292" s="91"/>
      <c r="R292" s="3"/>
      <c r="S292" s="388"/>
    </row>
    <row r="293" spans="1:19" ht="12.75">
      <c r="A293" s="998"/>
      <c r="B293" s="1003"/>
      <c r="C293" s="1004"/>
      <c r="D293" s="1004"/>
      <c r="E293" s="1005"/>
      <c r="F293" s="916"/>
      <c r="G293" s="918"/>
      <c r="H293" s="918"/>
      <c r="I293" s="918"/>
      <c r="J293" s="313"/>
      <c r="K293" s="1022"/>
      <c r="L293" s="1021"/>
      <c r="M293" s="1021"/>
      <c r="N293" s="91"/>
      <c r="R293" s="3"/>
      <c r="S293" s="388"/>
    </row>
    <row r="294" spans="1:19" ht="12.75" customHeight="1">
      <c r="A294" s="999"/>
      <c r="B294" s="1006"/>
      <c r="C294" s="1007"/>
      <c r="D294" s="1007"/>
      <c r="E294" s="1008"/>
      <c r="F294" s="757"/>
      <c r="G294" s="919"/>
      <c r="H294" s="919"/>
      <c r="I294" s="919"/>
      <c r="J294" s="313"/>
      <c r="K294" s="1022"/>
      <c r="L294" s="1023"/>
      <c r="M294" s="1023"/>
      <c r="N294" s="91"/>
      <c r="R294" s="3"/>
      <c r="S294" s="388"/>
    </row>
    <row r="295" spans="1:19" ht="14.25" customHeight="1">
      <c r="A295" s="997" t="s">
        <v>519</v>
      </c>
      <c r="B295" s="1000"/>
      <c r="C295" s="1001"/>
      <c r="D295" s="1001"/>
      <c r="E295" s="1002"/>
      <c r="F295" s="756">
        <f>IF(AND(fio&lt;&gt;"",G295="",H295="",I295=""),0,IF($E$50="первая","Не  запол- нять на первую !",""))</f>
      </c>
      <c r="G295" s="1019"/>
      <c r="H295" s="1019"/>
      <c r="I295" s="1019"/>
      <c r="J295" s="313"/>
      <c r="K295" s="1022">
        <f>IF($E$50="первая",0,MAX(F295:I299))</f>
        <v>0</v>
      </c>
      <c r="L295" s="1020">
        <v>100</v>
      </c>
      <c r="M295" s="1020"/>
      <c r="N295" s="91"/>
      <c r="R295" s="3"/>
      <c r="S295" s="388"/>
    </row>
    <row r="296" spans="1:19" ht="12.75" customHeight="1">
      <c r="A296" s="998"/>
      <c r="B296" s="1003"/>
      <c r="C296" s="1004"/>
      <c r="D296" s="1004"/>
      <c r="E296" s="1005"/>
      <c r="F296" s="916"/>
      <c r="G296" s="918"/>
      <c r="H296" s="918"/>
      <c r="I296" s="918"/>
      <c r="J296" s="313"/>
      <c r="K296" s="1022"/>
      <c r="L296" s="1021"/>
      <c r="M296" s="1021"/>
      <c r="N296" s="91"/>
      <c r="R296" s="3"/>
      <c r="S296" s="388"/>
    </row>
    <row r="297" spans="1:19" ht="12.75" customHeight="1">
      <c r="A297" s="998"/>
      <c r="B297" s="1003"/>
      <c r="C297" s="1004"/>
      <c r="D297" s="1004"/>
      <c r="E297" s="1005"/>
      <c r="F297" s="916"/>
      <c r="G297" s="918"/>
      <c r="H297" s="918"/>
      <c r="I297" s="918"/>
      <c r="J297" s="313"/>
      <c r="K297" s="1022"/>
      <c r="L297" s="1021"/>
      <c r="M297" s="1021"/>
      <c r="N297" s="91"/>
      <c r="R297" s="3"/>
      <c r="S297" s="388"/>
    </row>
    <row r="298" spans="1:19" ht="12.75">
      <c r="A298" s="998"/>
      <c r="B298" s="1003"/>
      <c r="C298" s="1004"/>
      <c r="D298" s="1004"/>
      <c r="E298" s="1005"/>
      <c r="F298" s="916"/>
      <c r="G298" s="918"/>
      <c r="H298" s="918"/>
      <c r="I298" s="918"/>
      <c r="J298" s="313"/>
      <c r="K298" s="1022"/>
      <c r="L298" s="1021"/>
      <c r="M298" s="1021"/>
      <c r="N298" s="91"/>
      <c r="R298" s="3"/>
      <c r="S298" s="388"/>
    </row>
    <row r="299" spans="1:19" ht="12.75" customHeight="1">
      <c r="A299" s="999"/>
      <c r="B299" s="1006"/>
      <c r="C299" s="1007"/>
      <c r="D299" s="1007"/>
      <c r="E299" s="1008"/>
      <c r="F299" s="757"/>
      <c r="G299" s="919"/>
      <c r="H299" s="919"/>
      <c r="I299" s="919"/>
      <c r="J299" s="313"/>
      <c r="K299" s="1022"/>
      <c r="L299" s="1023"/>
      <c r="M299" s="1023"/>
      <c r="N299" s="91"/>
      <c r="R299" s="3"/>
      <c r="S299" s="388"/>
    </row>
    <row r="300" spans="1:68" s="332" customFormat="1" ht="0.75" customHeight="1" hidden="1">
      <c r="A300" s="360"/>
      <c r="B300" s="361"/>
      <c r="C300" s="361"/>
      <c r="D300" s="361"/>
      <c r="E300" s="361"/>
      <c r="F300" s="361"/>
      <c r="G300" s="361"/>
      <c r="H300" s="361"/>
      <c r="I300" s="361"/>
      <c r="J300" s="313"/>
      <c r="K300" s="361"/>
      <c r="L300" s="361"/>
      <c r="M300" s="361"/>
      <c r="N300" s="361"/>
      <c r="O300" s="361"/>
      <c r="P300" s="361"/>
      <c r="Q300" s="361"/>
      <c r="R300" s="361"/>
      <c r="S300" s="395"/>
      <c r="T300" s="361"/>
      <c r="U300" s="361"/>
      <c r="V300" s="361"/>
      <c r="W300" s="361"/>
      <c r="X300" s="361"/>
      <c r="Y300" s="361"/>
      <c r="Z300" s="361"/>
      <c r="AA300" s="361"/>
      <c r="AB300" s="361"/>
      <c r="AC300" s="361"/>
      <c r="AD300" s="361"/>
      <c r="AE300" s="361"/>
      <c r="AF300" s="361"/>
      <c r="AG300" s="361"/>
      <c r="AH300" s="361"/>
      <c r="AI300" s="361"/>
      <c r="AJ300" s="361"/>
      <c r="AK300" s="361"/>
      <c r="AL300" s="361"/>
      <c r="AM300" s="361"/>
      <c r="AN300" s="361"/>
      <c r="AO300" s="361"/>
      <c r="AP300" s="361"/>
      <c r="AQ300" s="361"/>
      <c r="AR300" s="361"/>
      <c r="AS300" s="361"/>
      <c r="AT300" s="361"/>
      <c r="AU300" s="361"/>
      <c r="AV300" s="361"/>
      <c r="AW300" s="361"/>
      <c r="AX300" s="361"/>
      <c r="AY300" s="361"/>
      <c r="AZ300" s="361"/>
      <c r="BA300" s="361"/>
      <c r="BB300" s="361"/>
      <c r="BC300" s="361"/>
      <c r="BD300" s="361"/>
      <c r="BE300" s="361"/>
      <c r="BF300" s="361"/>
      <c r="BG300" s="361"/>
      <c r="BH300" s="361"/>
      <c r="BI300" s="361"/>
      <c r="BJ300" s="361"/>
      <c r="BK300" s="336"/>
      <c r="BL300" s="336"/>
      <c r="BM300" s="336"/>
      <c r="BN300" s="336"/>
      <c r="BO300" s="336"/>
      <c r="BP300" s="336"/>
    </row>
    <row r="301" spans="1:19" ht="15" customHeight="1">
      <c r="A301" s="79" t="s">
        <v>431</v>
      </c>
      <c r="B301" s="959" t="s">
        <v>432</v>
      </c>
      <c r="C301" s="959"/>
      <c r="D301" s="959"/>
      <c r="E301" s="959"/>
      <c r="F301" s="959"/>
      <c r="G301" s="959"/>
      <c r="H301" s="959"/>
      <c r="I301" s="959"/>
      <c r="J301" s="313"/>
      <c r="R301" s="290"/>
      <c r="S301" s="388"/>
    </row>
    <row r="302" spans="1:19" ht="5.25" customHeight="1">
      <c r="A302" s="80"/>
      <c r="B302" s="82"/>
      <c r="C302" s="82"/>
      <c r="D302" s="82"/>
      <c r="E302" s="44"/>
      <c r="F302" s="44"/>
      <c r="G302" s="44"/>
      <c r="H302" s="44"/>
      <c r="I302" s="44"/>
      <c r="J302" s="313"/>
      <c r="R302" s="290"/>
      <c r="S302" s="388"/>
    </row>
    <row r="303" spans="1:19" ht="14.25" customHeight="1">
      <c r="A303" s="785" t="s">
        <v>156</v>
      </c>
      <c r="B303" s="788" t="s">
        <v>121</v>
      </c>
      <c r="C303" s="815"/>
      <c r="D303" s="789"/>
      <c r="E303" s="827" t="s">
        <v>122</v>
      </c>
      <c r="F303" s="828"/>
      <c r="G303" s="828"/>
      <c r="H303" s="828"/>
      <c r="I303" s="829"/>
      <c r="J303" s="312"/>
      <c r="L303" s="12"/>
      <c r="M303" s="12"/>
      <c r="R303" s="290"/>
      <c r="S303" s="388"/>
    </row>
    <row r="304" spans="1:19" ht="12.75" customHeight="1">
      <c r="A304" s="786"/>
      <c r="B304" s="790"/>
      <c r="C304" s="816"/>
      <c r="D304" s="791"/>
      <c r="E304" s="782" t="s">
        <v>123</v>
      </c>
      <c r="F304" s="784"/>
      <c r="G304" s="784"/>
      <c r="H304" s="784"/>
      <c r="I304" s="783"/>
      <c r="J304" s="312"/>
      <c r="L304" s="12"/>
      <c r="M304" s="12"/>
      <c r="O304" s="971"/>
      <c r="R304" s="290"/>
      <c r="S304" s="388"/>
    </row>
    <row r="305" spans="1:19" ht="12.75" customHeight="1">
      <c r="A305" s="787"/>
      <c r="B305" s="792"/>
      <c r="C305" s="817"/>
      <c r="D305" s="793"/>
      <c r="E305" s="250" t="s">
        <v>249</v>
      </c>
      <c r="F305" s="250" t="s">
        <v>250</v>
      </c>
      <c r="G305" s="11" t="s">
        <v>269</v>
      </c>
      <c r="H305" s="11" t="s">
        <v>285</v>
      </c>
      <c r="I305" s="11" t="s">
        <v>270</v>
      </c>
      <c r="J305" s="312"/>
      <c r="L305" s="148"/>
      <c r="M305" s="149"/>
      <c r="O305" s="971"/>
      <c r="R305" s="290"/>
      <c r="S305" s="388"/>
    </row>
    <row r="306" spans="1:19" ht="12.75" customHeight="1">
      <c r="A306" s="806" t="s">
        <v>433</v>
      </c>
      <c r="B306" s="774" t="s">
        <v>515</v>
      </c>
      <c r="C306" s="862"/>
      <c r="D306" s="775"/>
      <c r="E306" s="839" t="s">
        <v>252</v>
      </c>
      <c r="F306" s="839" t="s">
        <v>490</v>
      </c>
      <c r="G306" s="20" t="s">
        <v>253</v>
      </c>
      <c r="H306" s="13" t="s">
        <v>126</v>
      </c>
      <c r="I306" s="17" t="s">
        <v>254</v>
      </c>
      <c r="J306" s="312"/>
      <c r="L306" s="148"/>
      <c r="M306" s="149"/>
      <c r="O306" s="971"/>
      <c r="R306" s="290"/>
      <c r="S306" s="388"/>
    </row>
    <row r="307" spans="1:19" ht="12.75" customHeight="1">
      <c r="A307" s="807"/>
      <c r="B307" s="776"/>
      <c r="C307" s="924"/>
      <c r="D307" s="777"/>
      <c r="E307" s="840"/>
      <c r="F307" s="840"/>
      <c r="G307" s="16" t="s">
        <v>125</v>
      </c>
      <c r="H307" s="14" t="s">
        <v>125</v>
      </c>
      <c r="I307" s="15" t="s">
        <v>255</v>
      </c>
      <c r="J307" s="312"/>
      <c r="L307" s="148"/>
      <c r="M307" s="149"/>
      <c r="O307" s="971"/>
      <c r="R307" s="290"/>
      <c r="S307" s="388"/>
    </row>
    <row r="308" spans="1:19" ht="12.75" customHeight="1">
      <c r="A308" s="807"/>
      <c r="B308" s="776"/>
      <c r="C308" s="924"/>
      <c r="D308" s="777"/>
      <c r="E308" s="840"/>
      <c r="F308" s="840"/>
      <c r="G308" s="40"/>
      <c r="H308" s="41"/>
      <c r="I308" s="15"/>
      <c r="J308" s="312"/>
      <c r="L308" s="148"/>
      <c r="M308" s="149"/>
      <c r="O308" s="971"/>
      <c r="R308" s="290"/>
      <c r="S308" s="388"/>
    </row>
    <row r="309" spans="1:19" ht="12.75" customHeight="1">
      <c r="A309" s="807"/>
      <c r="B309" s="776"/>
      <c r="C309" s="924"/>
      <c r="D309" s="777"/>
      <c r="E309" s="840"/>
      <c r="F309" s="43" t="s">
        <v>171</v>
      </c>
      <c r="G309" s="45" t="s">
        <v>268</v>
      </c>
      <c r="H309" s="43" t="s">
        <v>57</v>
      </c>
      <c r="I309" s="46" t="s">
        <v>266</v>
      </c>
      <c r="J309" s="312"/>
      <c r="L309" s="148"/>
      <c r="M309" s="149"/>
      <c r="O309" s="971"/>
      <c r="R309" s="290"/>
      <c r="S309" s="388"/>
    </row>
    <row r="310" spans="1:19" ht="12.75" customHeight="1">
      <c r="A310" s="807"/>
      <c r="B310" s="776"/>
      <c r="C310" s="924"/>
      <c r="D310" s="777"/>
      <c r="E310" s="840"/>
      <c r="F310" s="43" t="s">
        <v>170</v>
      </c>
      <c r="G310" s="45" t="s">
        <v>256</v>
      </c>
      <c r="H310" s="43" t="s">
        <v>56</v>
      </c>
      <c r="I310" s="46" t="s">
        <v>267</v>
      </c>
      <c r="J310" s="312"/>
      <c r="L310" s="148"/>
      <c r="M310" s="149"/>
      <c r="O310" s="971"/>
      <c r="R310" s="290"/>
      <c r="S310" s="388"/>
    </row>
    <row r="311" spans="1:19" ht="12.75" customHeight="1">
      <c r="A311" s="807"/>
      <c r="B311" s="776"/>
      <c r="C311" s="924"/>
      <c r="D311" s="777"/>
      <c r="E311" s="840"/>
      <c r="F311" s="43" t="s">
        <v>58</v>
      </c>
      <c r="G311" s="45" t="s">
        <v>257</v>
      </c>
      <c r="H311" s="43" t="s">
        <v>284</v>
      </c>
      <c r="I311" s="46" t="s">
        <v>271</v>
      </c>
      <c r="J311" s="312"/>
      <c r="L311" s="148"/>
      <c r="M311" s="149"/>
      <c r="O311" s="971"/>
      <c r="R311" s="290"/>
      <c r="S311" s="388"/>
    </row>
    <row r="312" spans="1:19" ht="12.75" customHeight="1">
      <c r="A312" s="807"/>
      <c r="B312" s="766" t="s">
        <v>403</v>
      </c>
      <c r="C312" s="855"/>
      <c r="D312" s="767"/>
      <c r="E312" s="840"/>
      <c r="F312" s="43"/>
      <c r="G312" s="45"/>
      <c r="H312" s="43" t="s">
        <v>283</v>
      </c>
      <c r="I312" s="46"/>
      <c r="J312" s="312"/>
      <c r="L312" s="148"/>
      <c r="M312" s="149"/>
      <c r="O312" s="971"/>
      <c r="R312" s="290"/>
      <c r="S312" s="388"/>
    </row>
    <row r="313" spans="1:19" ht="12" customHeight="1">
      <c r="A313" s="807"/>
      <c r="B313" s="864" t="s">
        <v>434</v>
      </c>
      <c r="C313" s="865"/>
      <c r="D313" s="866"/>
      <c r="E313" s="840"/>
      <c r="F313" s="19"/>
      <c r="G313" s="365"/>
      <c r="H313" s="43"/>
      <c r="I313" s="178"/>
      <c r="J313" s="312"/>
      <c r="L313" s="148"/>
      <c r="M313" s="149"/>
      <c r="O313" s="971"/>
      <c r="R313" s="290"/>
      <c r="S313" s="388"/>
    </row>
    <row r="314" spans="1:19" ht="9.75" customHeight="1">
      <c r="A314" s="807"/>
      <c r="B314" s="766" t="s">
        <v>525</v>
      </c>
      <c r="C314" s="704"/>
      <c r="D314" s="995"/>
      <c r="E314" s="840"/>
      <c r="F314" s="37"/>
      <c r="G314" s="47"/>
      <c r="H314" s="365"/>
      <c r="I314" s="46"/>
      <c r="J314" s="312"/>
      <c r="L314" s="152"/>
      <c r="M314" s="159"/>
      <c r="O314" s="810"/>
      <c r="R314" s="290"/>
      <c r="S314" s="388"/>
    </row>
    <row r="315" spans="1:19" ht="12.75">
      <c r="A315" s="807"/>
      <c r="B315" s="996"/>
      <c r="C315" s="704"/>
      <c r="D315" s="995"/>
      <c r="E315" s="756">
        <f>IF(AND(F315="",G315="",H315="",I315=""),IF(fio="","",0),"")</f>
      </c>
      <c r="F315" s="764"/>
      <c r="G315" s="764"/>
      <c r="H315" s="764"/>
      <c r="I315" s="764"/>
      <c r="J315" s="312"/>
      <c r="L315" s="160"/>
      <c r="M315" s="161"/>
      <c r="O315" s="810"/>
      <c r="R315" s="290"/>
      <c r="S315" s="388"/>
    </row>
    <row r="316" spans="1:19" ht="6" customHeight="1">
      <c r="A316" s="808"/>
      <c r="B316" s="723"/>
      <c r="C316" s="989"/>
      <c r="D316" s="724"/>
      <c r="E316" s="757"/>
      <c r="F316" s="765"/>
      <c r="G316" s="765"/>
      <c r="H316" s="765"/>
      <c r="I316" s="765"/>
      <c r="J316" s="312"/>
      <c r="K316" s="153">
        <f>SUM(F315:I316)</f>
        <v>0</v>
      </c>
      <c r="L316" s="160">
        <v>220</v>
      </c>
      <c r="M316" s="161"/>
      <c r="O316" s="810"/>
      <c r="R316" s="290"/>
      <c r="S316" s="388"/>
    </row>
    <row r="317" spans="1:19" ht="12.75" customHeight="1">
      <c r="A317" s="806" t="s">
        <v>435</v>
      </c>
      <c r="B317" s="774" t="s">
        <v>437</v>
      </c>
      <c r="C317" s="862"/>
      <c r="D317" s="775"/>
      <c r="E317" s="839" t="s">
        <v>299</v>
      </c>
      <c r="F317" s="839" t="s">
        <v>490</v>
      </c>
      <c r="G317" s="20" t="s">
        <v>253</v>
      </c>
      <c r="H317" s="13" t="s">
        <v>126</v>
      </c>
      <c r="I317" s="13" t="s">
        <v>127</v>
      </c>
      <c r="J317" s="312"/>
      <c r="L317" s="160"/>
      <c r="M317" s="161"/>
      <c r="O317" s="810"/>
      <c r="R317" s="290"/>
      <c r="S317" s="388"/>
    </row>
    <row r="318" spans="1:19" ht="12.75" customHeight="1">
      <c r="A318" s="807"/>
      <c r="B318" s="776"/>
      <c r="C318" s="924"/>
      <c r="D318" s="777"/>
      <c r="E318" s="840"/>
      <c r="F318" s="840"/>
      <c r="G318" s="16" t="s">
        <v>125</v>
      </c>
      <c r="H318" s="14" t="s">
        <v>125</v>
      </c>
      <c r="I318" s="14" t="s">
        <v>125</v>
      </c>
      <c r="J318" s="312"/>
      <c r="L318" s="160"/>
      <c r="M318" s="161"/>
      <c r="O318" s="810"/>
      <c r="R318" s="290"/>
      <c r="S318" s="388"/>
    </row>
    <row r="319" spans="1:19" ht="5.25" customHeight="1">
      <c r="A319" s="807"/>
      <c r="B319" s="776"/>
      <c r="C319" s="924"/>
      <c r="D319" s="777"/>
      <c r="E319" s="840"/>
      <c r="F319" s="37"/>
      <c r="G319" s="14"/>
      <c r="H319" s="16"/>
      <c r="I319" s="14"/>
      <c r="J319" s="312"/>
      <c r="L319" s="160"/>
      <c r="M319" s="161"/>
      <c r="O319" s="810"/>
      <c r="R319" s="290"/>
      <c r="S319" s="388"/>
    </row>
    <row r="320" spans="1:19" ht="15.75" customHeight="1">
      <c r="A320" s="807"/>
      <c r="B320" s="766" t="s">
        <v>403</v>
      </c>
      <c r="C320" s="855"/>
      <c r="D320" s="767"/>
      <c r="E320" s="840"/>
      <c r="F320" s="49" t="s">
        <v>290</v>
      </c>
      <c r="G320" s="43" t="s">
        <v>292</v>
      </c>
      <c r="H320" s="45" t="s">
        <v>294</v>
      </c>
      <c r="I320" s="43" t="s">
        <v>296</v>
      </c>
      <c r="J320" s="312"/>
      <c r="L320" s="160"/>
      <c r="M320" s="161"/>
      <c r="O320" s="810"/>
      <c r="R320" s="290"/>
      <c r="S320" s="388"/>
    </row>
    <row r="321" spans="1:19" ht="14.25" customHeight="1">
      <c r="A321" s="807"/>
      <c r="B321" s="864" t="s">
        <v>434</v>
      </c>
      <c r="C321" s="865"/>
      <c r="D321" s="866"/>
      <c r="E321" s="840"/>
      <c r="F321" s="49" t="s">
        <v>291</v>
      </c>
      <c r="G321" s="43" t="s">
        <v>293</v>
      </c>
      <c r="H321" s="45" t="s">
        <v>295</v>
      </c>
      <c r="I321" s="43" t="s">
        <v>297</v>
      </c>
      <c r="J321" s="312"/>
      <c r="L321" s="160"/>
      <c r="M321" s="161"/>
      <c r="O321" s="810"/>
      <c r="R321" s="290"/>
      <c r="S321" s="388"/>
    </row>
    <row r="322" spans="1:19" ht="12.75" customHeight="1">
      <c r="A322" s="807"/>
      <c r="B322" s="766" t="s">
        <v>438</v>
      </c>
      <c r="C322" s="855"/>
      <c r="D322" s="767"/>
      <c r="E322" s="840"/>
      <c r="F322" s="49" t="s">
        <v>58</v>
      </c>
      <c r="G322" s="43" t="s">
        <v>257</v>
      </c>
      <c r="H322" s="45" t="s">
        <v>298</v>
      </c>
      <c r="I322" s="43" t="s">
        <v>271</v>
      </c>
      <c r="J322" s="312"/>
      <c r="L322" s="160"/>
      <c r="M322" s="161"/>
      <c r="O322" s="810"/>
      <c r="R322" s="290"/>
      <c r="S322" s="388"/>
    </row>
    <row r="323" spans="1:19" ht="12.75" customHeight="1">
      <c r="A323" s="807"/>
      <c r="B323" s="766"/>
      <c r="C323" s="855"/>
      <c r="D323" s="767"/>
      <c r="E323" s="841"/>
      <c r="F323" s="37"/>
      <c r="G323" s="43"/>
      <c r="H323" s="43" t="s">
        <v>283</v>
      </c>
      <c r="I323" s="51"/>
      <c r="J323" s="312"/>
      <c r="L323" s="160"/>
      <c r="M323" s="161"/>
      <c r="O323" s="810"/>
      <c r="R323" s="290"/>
      <c r="S323" s="388"/>
    </row>
    <row r="324" spans="1:19" ht="12.75">
      <c r="A324" s="807"/>
      <c r="B324" s="766"/>
      <c r="C324" s="855"/>
      <c r="D324" s="767"/>
      <c r="E324" s="756">
        <f>IF(AND(F324="",G324="",H324="",I324=""),IF(fio="","",0),"")</f>
      </c>
      <c r="F324" s="764"/>
      <c r="G324" s="764"/>
      <c r="H324" s="764"/>
      <c r="I324" s="764"/>
      <c r="J324" s="312"/>
      <c r="L324" s="160"/>
      <c r="M324" s="161"/>
      <c r="O324" s="810"/>
      <c r="R324" s="290"/>
      <c r="S324" s="388"/>
    </row>
    <row r="325" spans="1:19" ht="6" customHeight="1">
      <c r="A325" s="808"/>
      <c r="B325" s="768"/>
      <c r="C325" s="867"/>
      <c r="D325" s="769"/>
      <c r="E325" s="757"/>
      <c r="F325" s="765"/>
      <c r="G325" s="765"/>
      <c r="H325" s="765"/>
      <c r="I325" s="765"/>
      <c r="J325" s="312"/>
      <c r="K325" s="153">
        <f>SUM(F324:I325)</f>
        <v>0</v>
      </c>
      <c r="L325" s="160">
        <v>220</v>
      </c>
      <c r="M325" s="161"/>
      <c r="O325" s="810"/>
      <c r="R325" s="290"/>
      <c r="S325" s="388"/>
    </row>
    <row r="326" spans="1:19" ht="12.75" customHeight="1">
      <c r="A326" s="806" t="s">
        <v>436</v>
      </c>
      <c r="B326" s="774" t="s">
        <v>507</v>
      </c>
      <c r="C326" s="862"/>
      <c r="D326" s="775"/>
      <c r="E326" s="839" t="s">
        <v>347</v>
      </c>
      <c r="F326" s="839" t="s">
        <v>490</v>
      </c>
      <c r="G326" s="20" t="s">
        <v>253</v>
      </c>
      <c r="H326" s="13" t="s">
        <v>126</v>
      </c>
      <c r="I326" s="13" t="s">
        <v>127</v>
      </c>
      <c r="J326" s="312"/>
      <c r="L326" s="160"/>
      <c r="M326" s="161"/>
      <c r="O326" s="810"/>
      <c r="R326" s="290"/>
      <c r="S326" s="388"/>
    </row>
    <row r="327" spans="1:19" ht="12.75" customHeight="1">
      <c r="A327" s="807"/>
      <c r="B327" s="776"/>
      <c r="C327" s="924"/>
      <c r="D327" s="777"/>
      <c r="E327" s="840"/>
      <c r="F327" s="840"/>
      <c r="G327" s="16" t="s">
        <v>125</v>
      </c>
      <c r="H327" s="14" t="s">
        <v>125</v>
      </c>
      <c r="I327" s="14" t="s">
        <v>125</v>
      </c>
      <c r="J327" s="312"/>
      <c r="L327" s="160"/>
      <c r="M327" s="161"/>
      <c r="O327" s="810"/>
      <c r="R327" s="290"/>
      <c r="S327" s="388"/>
    </row>
    <row r="328" spans="1:19" ht="9" customHeight="1">
      <c r="A328" s="807"/>
      <c r="B328" s="776"/>
      <c r="C328" s="924"/>
      <c r="D328" s="777"/>
      <c r="E328" s="840"/>
      <c r="F328" s="37"/>
      <c r="G328" s="14"/>
      <c r="H328" s="16"/>
      <c r="I328" s="14"/>
      <c r="J328" s="312"/>
      <c r="L328" s="160"/>
      <c r="M328" s="161"/>
      <c r="O328" s="810"/>
      <c r="R328" s="290"/>
      <c r="S328" s="388"/>
    </row>
    <row r="329" spans="1:19" ht="12.75" customHeight="1">
      <c r="A329" s="807"/>
      <c r="B329" s="776"/>
      <c r="C329" s="924"/>
      <c r="D329" s="777"/>
      <c r="E329" s="840"/>
      <c r="F329" s="49" t="s">
        <v>59</v>
      </c>
      <c r="G329" s="43" t="s">
        <v>272</v>
      </c>
      <c r="H329" s="45" t="s">
        <v>168</v>
      </c>
      <c r="I329" s="43" t="s">
        <v>273</v>
      </c>
      <c r="J329" s="312"/>
      <c r="L329" s="160"/>
      <c r="M329" s="161"/>
      <c r="O329" s="810"/>
      <c r="R329" s="290"/>
      <c r="S329" s="388"/>
    </row>
    <row r="330" spans="1:19" ht="12.75" customHeight="1">
      <c r="A330" s="807"/>
      <c r="B330" s="776"/>
      <c r="C330" s="924"/>
      <c r="D330" s="777"/>
      <c r="E330" s="840"/>
      <c r="F330" s="49" t="s">
        <v>24</v>
      </c>
      <c r="G330" s="43" t="s">
        <v>258</v>
      </c>
      <c r="H330" s="45" t="s">
        <v>169</v>
      </c>
      <c r="I330" s="43" t="s">
        <v>274</v>
      </c>
      <c r="J330" s="312"/>
      <c r="L330" s="160"/>
      <c r="M330" s="161"/>
      <c r="O330" s="810"/>
      <c r="R330" s="290"/>
      <c r="S330" s="388"/>
    </row>
    <row r="331" spans="1:19" ht="12.75" customHeight="1">
      <c r="A331" s="807"/>
      <c r="B331" s="766" t="s">
        <v>477</v>
      </c>
      <c r="C331" s="855"/>
      <c r="D331" s="767"/>
      <c r="E331" s="840"/>
      <c r="F331" s="49" t="s">
        <v>58</v>
      </c>
      <c r="G331" s="43" t="s">
        <v>257</v>
      </c>
      <c r="H331" s="45" t="s">
        <v>286</v>
      </c>
      <c r="I331" s="43" t="s">
        <v>271</v>
      </c>
      <c r="J331" s="312"/>
      <c r="L331" s="160"/>
      <c r="M331" s="161"/>
      <c r="O331" s="810"/>
      <c r="R331" s="290"/>
      <c r="S331" s="388"/>
    </row>
    <row r="332" spans="1:19" ht="12.75" customHeight="1">
      <c r="A332" s="807"/>
      <c r="B332" s="864" t="s">
        <v>441</v>
      </c>
      <c r="C332" s="865"/>
      <c r="D332" s="866"/>
      <c r="E332" s="840"/>
      <c r="F332" s="49"/>
      <c r="G332" s="43"/>
      <c r="H332" s="45" t="s">
        <v>442</v>
      </c>
      <c r="I332" s="43"/>
      <c r="J332" s="312"/>
      <c r="L332" s="160"/>
      <c r="M332" s="161"/>
      <c r="O332" s="163"/>
      <c r="R332" s="290"/>
      <c r="S332" s="388"/>
    </row>
    <row r="333" spans="1:19" ht="54" customHeight="1">
      <c r="A333" s="807"/>
      <c r="B333" s="766" t="s">
        <v>508</v>
      </c>
      <c r="C333" s="865"/>
      <c r="D333" s="866"/>
      <c r="E333" s="841"/>
      <c r="F333" s="251"/>
      <c r="G333" s="50"/>
      <c r="H333" s="43"/>
      <c r="I333" s="353"/>
      <c r="J333" s="312"/>
      <c r="L333" s="160"/>
      <c r="M333" s="161"/>
      <c r="O333" s="971"/>
      <c r="R333" s="290"/>
      <c r="S333" s="388"/>
    </row>
    <row r="334" spans="1:19" ht="12.75" customHeight="1">
      <c r="A334" s="807"/>
      <c r="B334" s="864"/>
      <c r="C334" s="865"/>
      <c r="D334" s="866"/>
      <c r="E334" s="756">
        <f>IF(AND(F334="",G334="",H334="",I334=""),IF(fio="","",0),"")</f>
      </c>
      <c r="F334" s="764"/>
      <c r="G334" s="764"/>
      <c r="H334" s="764"/>
      <c r="I334" s="764"/>
      <c r="J334" s="312"/>
      <c r="L334" s="160"/>
      <c r="M334" s="161"/>
      <c r="O334" s="971"/>
      <c r="R334" s="290"/>
      <c r="S334" s="388"/>
    </row>
    <row r="335" spans="1:19" ht="12.75" customHeight="1">
      <c r="A335" s="808"/>
      <c r="B335" s="992"/>
      <c r="C335" s="993"/>
      <c r="D335" s="994"/>
      <c r="E335" s="757"/>
      <c r="F335" s="765"/>
      <c r="G335" s="765"/>
      <c r="H335" s="765"/>
      <c r="I335" s="765"/>
      <c r="J335" s="312"/>
      <c r="K335" s="153">
        <f>SUM(F334:I335)</f>
        <v>0</v>
      </c>
      <c r="M335" s="160">
        <v>220</v>
      </c>
      <c r="O335" s="971"/>
      <c r="R335" s="290"/>
      <c r="S335" s="388"/>
    </row>
    <row r="336" spans="1:19" ht="12.75" customHeight="1">
      <c r="A336" s="806" t="s">
        <v>446</v>
      </c>
      <c r="B336" s="774" t="s">
        <v>445</v>
      </c>
      <c r="C336" s="862"/>
      <c r="D336" s="775"/>
      <c r="E336" s="839" t="s">
        <v>252</v>
      </c>
      <c r="F336" s="839" t="s">
        <v>490</v>
      </c>
      <c r="G336" s="20" t="s">
        <v>253</v>
      </c>
      <c r="H336" s="13" t="s">
        <v>126</v>
      </c>
      <c r="I336" s="17" t="s">
        <v>254</v>
      </c>
      <c r="J336" s="312"/>
      <c r="L336" s="160"/>
      <c r="M336" s="161"/>
      <c r="O336" s="971"/>
      <c r="R336" s="290"/>
      <c r="S336" s="388"/>
    </row>
    <row r="337" spans="1:19" ht="12.75" customHeight="1">
      <c r="A337" s="807"/>
      <c r="B337" s="776"/>
      <c r="C337" s="924"/>
      <c r="D337" s="777"/>
      <c r="E337" s="840"/>
      <c r="F337" s="840"/>
      <c r="G337" s="16" t="s">
        <v>125</v>
      </c>
      <c r="H337" s="14" t="s">
        <v>125</v>
      </c>
      <c r="I337" s="15" t="s">
        <v>255</v>
      </c>
      <c r="J337" s="312"/>
      <c r="L337" s="148"/>
      <c r="M337" s="149"/>
      <c r="O337" s="971"/>
      <c r="R337" s="290"/>
      <c r="S337" s="388"/>
    </row>
    <row r="338" spans="1:19" ht="8.25" customHeight="1">
      <c r="A338" s="807"/>
      <c r="B338" s="776"/>
      <c r="C338" s="924"/>
      <c r="D338" s="777"/>
      <c r="E338" s="840"/>
      <c r="F338" s="840"/>
      <c r="G338" s="40"/>
      <c r="H338" s="41"/>
      <c r="I338" s="15"/>
      <c r="J338" s="312"/>
      <c r="L338" s="148"/>
      <c r="M338" s="149"/>
      <c r="O338" s="971"/>
      <c r="R338" s="290"/>
      <c r="S338" s="388"/>
    </row>
    <row r="339" spans="1:19" ht="12.75">
      <c r="A339" s="807"/>
      <c r="B339" s="776"/>
      <c r="C339" s="924"/>
      <c r="D339" s="777"/>
      <c r="E339" s="840"/>
      <c r="F339" s="43" t="s">
        <v>302</v>
      </c>
      <c r="G339" s="45" t="s">
        <v>304</v>
      </c>
      <c r="H339" s="43" t="s">
        <v>307</v>
      </c>
      <c r="I339" s="46" t="s">
        <v>308</v>
      </c>
      <c r="J339" s="312"/>
      <c r="L339" s="148"/>
      <c r="M339" s="149"/>
      <c r="O339" s="971"/>
      <c r="R339" s="290"/>
      <c r="S339" s="388"/>
    </row>
    <row r="340" spans="1:19" ht="12.75" customHeight="1">
      <c r="A340" s="807"/>
      <c r="B340" s="766" t="s">
        <v>403</v>
      </c>
      <c r="C340" s="855"/>
      <c r="D340" s="767"/>
      <c r="E340" s="840"/>
      <c r="F340" s="43" t="s">
        <v>303</v>
      </c>
      <c r="G340" s="45" t="s">
        <v>305</v>
      </c>
      <c r="H340" s="43" t="s">
        <v>306</v>
      </c>
      <c r="I340" s="46" t="s">
        <v>309</v>
      </c>
      <c r="J340" s="312"/>
      <c r="L340" s="148"/>
      <c r="M340" s="149"/>
      <c r="O340" s="971"/>
      <c r="R340" s="290"/>
      <c r="S340" s="388"/>
    </row>
    <row r="341" spans="1:19" ht="13.5">
      <c r="A341" s="807"/>
      <c r="B341" s="864" t="s">
        <v>434</v>
      </c>
      <c r="C341" s="865"/>
      <c r="D341" s="866"/>
      <c r="E341" s="840"/>
      <c r="F341" s="972" t="s">
        <v>301</v>
      </c>
      <c r="G341" s="972" t="s">
        <v>165</v>
      </c>
      <c r="H341" s="43" t="s">
        <v>311</v>
      </c>
      <c r="I341" s="972" t="s">
        <v>310</v>
      </c>
      <c r="J341" s="312"/>
      <c r="L341" s="148"/>
      <c r="M341" s="149"/>
      <c r="O341" s="971"/>
      <c r="R341" s="290"/>
      <c r="S341" s="388"/>
    </row>
    <row r="342" spans="1:19" ht="24">
      <c r="A342" s="807"/>
      <c r="B342" s="766" t="s">
        <v>505</v>
      </c>
      <c r="C342" s="855"/>
      <c r="D342" s="767"/>
      <c r="E342" s="840"/>
      <c r="F342" s="972"/>
      <c r="G342" s="972"/>
      <c r="H342" s="43" t="s">
        <v>312</v>
      </c>
      <c r="I342" s="972"/>
      <c r="J342" s="312"/>
      <c r="L342" s="152"/>
      <c r="M342" s="159"/>
      <c r="R342" s="290"/>
      <c r="S342" s="388"/>
    </row>
    <row r="343" spans="1:19" s="146" customFormat="1" ht="2.25" customHeight="1">
      <c r="A343" s="807"/>
      <c r="B343" s="766"/>
      <c r="C343" s="855"/>
      <c r="D343" s="767"/>
      <c r="E343" s="48"/>
      <c r="F343" s="48"/>
      <c r="G343" s="72"/>
      <c r="H343" s="48"/>
      <c r="I343" s="46"/>
      <c r="J343" s="315"/>
      <c r="K343" s="153"/>
      <c r="L343" s="155"/>
      <c r="M343" s="156"/>
      <c r="N343" s="158"/>
      <c r="R343" s="292"/>
      <c r="S343" s="389"/>
    </row>
    <row r="344" spans="1:19" s="12" customFormat="1" ht="14.25" customHeight="1">
      <c r="A344" s="807"/>
      <c r="B344" s="766"/>
      <c r="C344" s="855"/>
      <c r="D344" s="767"/>
      <c r="E344" s="756">
        <f>IF(AND(F344="",G344="",H344="",I344=""),IF(fio="","",0),"")</f>
      </c>
      <c r="F344" s="764"/>
      <c r="G344" s="764"/>
      <c r="H344" s="764"/>
      <c r="I344" s="764"/>
      <c r="J344" s="314"/>
      <c r="K344" s="153"/>
      <c r="L344" s="160"/>
      <c r="M344" s="161"/>
      <c r="R344" s="291"/>
      <c r="S344" s="396"/>
    </row>
    <row r="345" spans="1:19" s="12" customFormat="1" ht="8.25" customHeight="1">
      <c r="A345" s="808"/>
      <c r="B345" s="768"/>
      <c r="C345" s="867"/>
      <c r="D345" s="769"/>
      <c r="E345" s="757"/>
      <c r="F345" s="765"/>
      <c r="G345" s="765"/>
      <c r="H345" s="765"/>
      <c r="I345" s="765"/>
      <c r="J345" s="314"/>
      <c r="K345" s="153">
        <f>SUM(F344:I345)</f>
        <v>0</v>
      </c>
      <c r="L345" s="160">
        <v>220</v>
      </c>
      <c r="M345" s="161"/>
      <c r="O345" s="33"/>
      <c r="P345" s="33"/>
      <c r="R345" s="291"/>
      <c r="S345" s="396"/>
    </row>
    <row r="346" spans="1:19" ht="12.75" customHeight="1">
      <c r="A346" s="806" t="s">
        <v>447</v>
      </c>
      <c r="B346" s="774" t="s">
        <v>518</v>
      </c>
      <c r="C346" s="862"/>
      <c r="D346" s="775"/>
      <c r="E346" s="839" t="s">
        <v>252</v>
      </c>
      <c r="F346" s="839" t="s">
        <v>490</v>
      </c>
      <c r="G346" s="20" t="s">
        <v>253</v>
      </c>
      <c r="H346" s="13" t="s">
        <v>126</v>
      </c>
      <c r="I346" s="13" t="s">
        <v>127</v>
      </c>
      <c r="J346" s="312"/>
      <c r="L346" s="160"/>
      <c r="M346" s="161"/>
      <c r="O346" s="810"/>
      <c r="R346" s="290"/>
      <c r="S346" s="388"/>
    </row>
    <row r="347" spans="1:19" ht="12.75" customHeight="1">
      <c r="A347" s="807"/>
      <c r="B347" s="776"/>
      <c r="C347" s="924"/>
      <c r="D347" s="777"/>
      <c r="E347" s="840"/>
      <c r="F347" s="840"/>
      <c r="G347" s="16" t="s">
        <v>125</v>
      </c>
      <c r="H347" s="14" t="s">
        <v>125</v>
      </c>
      <c r="I347" s="14" t="s">
        <v>125</v>
      </c>
      <c r="J347" s="312"/>
      <c r="L347" s="160"/>
      <c r="M347" s="161"/>
      <c r="O347" s="810"/>
      <c r="R347" s="290"/>
      <c r="S347" s="388"/>
    </row>
    <row r="348" spans="1:19" ht="12.75" customHeight="1">
      <c r="A348" s="807"/>
      <c r="B348" s="776"/>
      <c r="C348" s="924"/>
      <c r="D348" s="777"/>
      <c r="E348" s="840"/>
      <c r="F348" s="37"/>
      <c r="G348" s="252"/>
      <c r="H348" s="154"/>
      <c r="I348" s="154"/>
      <c r="J348" s="312"/>
      <c r="L348" s="160"/>
      <c r="M348" s="161"/>
      <c r="O348" s="810"/>
      <c r="R348" s="290"/>
      <c r="S348" s="388"/>
    </row>
    <row r="349" spans="1:19" ht="24">
      <c r="A349" s="807"/>
      <c r="B349" s="776"/>
      <c r="C349" s="924"/>
      <c r="D349" s="777"/>
      <c r="E349" s="840"/>
      <c r="F349" s="51" t="s">
        <v>584</v>
      </c>
      <c r="G349" s="52" t="s">
        <v>585</v>
      </c>
      <c r="H349" s="51" t="s">
        <v>586</v>
      </c>
      <c r="I349" s="51" t="s">
        <v>587</v>
      </c>
      <c r="J349" s="312"/>
      <c r="L349" s="160"/>
      <c r="M349" s="161"/>
      <c r="O349" s="810"/>
      <c r="R349" s="290"/>
      <c r="S349" s="388"/>
    </row>
    <row r="350" spans="1:19" ht="24">
      <c r="A350" s="807"/>
      <c r="B350" s="776"/>
      <c r="C350" s="924"/>
      <c r="D350" s="777"/>
      <c r="E350" s="840"/>
      <c r="F350" s="51" t="s">
        <v>588</v>
      </c>
      <c r="G350" s="52" t="s">
        <v>589</v>
      </c>
      <c r="H350" s="51" t="s">
        <v>590</v>
      </c>
      <c r="I350" s="51" t="s">
        <v>591</v>
      </c>
      <c r="J350" s="312"/>
      <c r="L350" s="160"/>
      <c r="M350" s="161"/>
      <c r="O350" s="810"/>
      <c r="R350" s="290"/>
      <c r="S350" s="388"/>
    </row>
    <row r="351" spans="1:19" ht="24">
      <c r="A351" s="807"/>
      <c r="B351" s="776"/>
      <c r="C351" s="924"/>
      <c r="D351" s="777"/>
      <c r="E351" s="840"/>
      <c r="F351" s="52" t="s">
        <v>164</v>
      </c>
      <c r="G351" s="52" t="s">
        <v>165</v>
      </c>
      <c r="H351" s="51" t="s">
        <v>592</v>
      </c>
      <c r="I351" s="51" t="s">
        <v>259</v>
      </c>
      <c r="J351" s="312"/>
      <c r="L351" s="160"/>
      <c r="M351" s="161"/>
      <c r="O351" s="810"/>
      <c r="R351" s="290"/>
      <c r="S351" s="388"/>
    </row>
    <row r="352" spans="1:19" ht="14.25" customHeight="1">
      <c r="A352" s="807"/>
      <c r="B352" s="776"/>
      <c r="C352" s="924"/>
      <c r="D352" s="777"/>
      <c r="E352" s="840"/>
      <c r="F352" s="37"/>
      <c r="G352" s="49"/>
      <c r="H352" s="43" t="s">
        <v>283</v>
      </c>
      <c r="I352" s="51"/>
      <c r="J352" s="312"/>
      <c r="L352" s="160"/>
      <c r="M352" s="161"/>
      <c r="O352" s="810"/>
      <c r="R352" s="290"/>
      <c r="S352" s="388"/>
    </row>
    <row r="353" spans="1:19" s="12" customFormat="1" ht="12.75">
      <c r="A353" s="807"/>
      <c r="B353" s="766" t="s">
        <v>478</v>
      </c>
      <c r="C353" s="855"/>
      <c r="D353" s="767"/>
      <c r="E353" s="840"/>
      <c r="F353" s="37"/>
      <c r="G353" s="49"/>
      <c r="H353" s="43"/>
      <c r="I353" s="51"/>
      <c r="J353" s="314"/>
      <c r="K353" s="153"/>
      <c r="L353" s="160"/>
      <c r="M353" s="161"/>
      <c r="N353" s="71"/>
      <c r="O353" s="33"/>
      <c r="P353" s="33"/>
      <c r="R353" s="291"/>
      <c r="S353" s="396"/>
    </row>
    <row r="354" spans="1:19" s="12" customFormat="1" ht="12.75" customHeight="1">
      <c r="A354" s="807"/>
      <c r="B354" s="864" t="s">
        <v>441</v>
      </c>
      <c r="C354" s="865"/>
      <c r="D354" s="866"/>
      <c r="E354" s="756">
        <f>IF(AND(F354="",G354="",H354="",I354=""),IF(fio="","",0),"")</f>
      </c>
      <c r="F354" s="764"/>
      <c r="G354" s="764"/>
      <c r="H354" s="764"/>
      <c r="I354" s="764"/>
      <c r="J354" s="314"/>
      <c r="K354" s="153"/>
      <c r="L354" s="160"/>
      <c r="M354" s="161"/>
      <c r="N354" s="71"/>
      <c r="R354" s="291"/>
      <c r="S354" s="396"/>
    </row>
    <row r="355" spans="1:19" ht="12.75" customHeight="1">
      <c r="A355" s="808"/>
      <c r="B355" s="768" t="s">
        <v>660</v>
      </c>
      <c r="C355" s="867"/>
      <c r="D355" s="769"/>
      <c r="E355" s="757"/>
      <c r="F355" s="765"/>
      <c r="G355" s="765"/>
      <c r="H355" s="765"/>
      <c r="I355" s="765"/>
      <c r="J355" s="312"/>
      <c r="K355" s="153">
        <f>SUM(F354:I355)</f>
        <v>0</v>
      </c>
      <c r="L355" s="160">
        <v>260</v>
      </c>
      <c r="M355" s="161"/>
      <c r="O355" s="810"/>
      <c r="R355" s="290"/>
      <c r="S355" s="388"/>
    </row>
    <row r="356" spans="1:19" ht="31.5" customHeight="1">
      <c r="A356" s="16"/>
      <c r="B356" s="255"/>
      <c r="C356" s="255"/>
      <c r="D356" s="163"/>
      <c r="E356" s="164"/>
      <c r="F356" s="172"/>
      <c r="G356" s="172"/>
      <c r="H356" s="172"/>
      <c r="I356" s="172"/>
      <c r="J356" s="312"/>
      <c r="K356" s="348"/>
      <c r="L356" s="348"/>
      <c r="M356" s="348"/>
      <c r="N356" s="348"/>
      <c r="O356" s="810"/>
      <c r="R356" s="108"/>
      <c r="S356" s="388"/>
    </row>
    <row r="357" spans="1:19" s="146" customFormat="1" ht="12.75" customHeight="1">
      <c r="A357" s="571" t="s">
        <v>137</v>
      </c>
      <c r="B357" s="571"/>
      <c r="C357" s="571"/>
      <c r="D357" s="53"/>
      <c r="E357" s="256"/>
      <c r="F357" s="257"/>
      <c r="G357" s="257"/>
      <c r="H357" s="257"/>
      <c r="I357" s="257"/>
      <c r="J357" s="315"/>
      <c r="K357" s="157"/>
      <c r="L357" s="572"/>
      <c r="M357" s="572" t="s">
        <v>159</v>
      </c>
      <c r="N357" s="158"/>
      <c r="O357" s="810"/>
      <c r="R357" s="292"/>
      <c r="S357" s="389"/>
    </row>
    <row r="358" spans="1:19" ht="12.75" customHeight="1">
      <c r="A358" s="785" t="s">
        <v>156</v>
      </c>
      <c r="B358" s="788" t="s">
        <v>121</v>
      </c>
      <c r="C358" s="815"/>
      <c r="D358" s="827" t="s">
        <v>122</v>
      </c>
      <c r="E358" s="828"/>
      <c r="F358" s="828"/>
      <c r="G358" s="828"/>
      <c r="H358" s="828"/>
      <c r="I358" s="829"/>
      <c r="J358" s="312"/>
      <c r="L358" s="160"/>
      <c r="M358" s="161"/>
      <c r="O358" s="810"/>
      <c r="R358" s="290"/>
      <c r="S358" s="388"/>
    </row>
    <row r="359" spans="1:19" ht="12.75">
      <c r="A359" s="786"/>
      <c r="B359" s="790"/>
      <c r="C359" s="816"/>
      <c r="D359" s="782" t="s">
        <v>123</v>
      </c>
      <c r="E359" s="784"/>
      <c r="F359" s="784"/>
      <c r="G359" s="784"/>
      <c r="H359" s="784"/>
      <c r="I359" s="783"/>
      <c r="J359" s="312"/>
      <c r="L359" s="160"/>
      <c r="M359" s="161"/>
      <c r="O359" s="810"/>
      <c r="R359" s="290"/>
      <c r="S359" s="388"/>
    </row>
    <row r="360" spans="1:19" ht="12.75" customHeight="1">
      <c r="A360" s="787"/>
      <c r="B360" s="792"/>
      <c r="C360" s="817"/>
      <c r="D360" s="250" t="s">
        <v>440</v>
      </c>
      <c r="E360" s="250" t="s">
        <v>439</v>
      </c>
      <c r="F360" s="11" t="s">
        <v>269</v>
      </c>
      <c r="G360" s="11" t="s">
        <v>285</v>
      </c>
      <c r="H360" s="11" t="s">
        <v>270</v>
      </c>
      <c r="I360" s="11" t="s">
        <v>323</v>
      </c>
      <c r="J360" s="312"/>
      <c r="L360" s="160"/>
      <c r="M360" s="161"/>
      <c r="O360" s="810"/>
      <c r="R360" s="290"/>
      <c r="S360" s="388"/>
    </row>
    <row r="361" spans="1:19" ht="12.75" customHeight="1">
      <c r="A361" s="962" t="s">
        <v>448</v>
      </c>
      <c r="B361" s="774" t="s">
        <v>488</v>
      </c>
      <c r="C361" s="775"/>
      <c r="D361" s="839" t="s">
        <v>300</v>
      </c>
      <c r="E361" s="839" t="s">
        <v>490</v>
      </c>
      <c r="F361" s="20" t="s">
        <v>253</v>
      </c>
      <c r="G361" s="13" t="s">
        <v>126</v>
      </c>
      <c r="H361" s="13" t="s">
        <v>127</v>
      </c>
      <c r="I361" s="13" t="s">
        <v>317</v>
      </c>
      <c r="J361" s="312"/>
      <c r="L361" s="160"/>
      <c r="M361" s="161"/>
      <c r="O361" s="810"/>
      <c r="R361" s="290"/>
      <c r="S361" s="388"/>
    </row>
    <row r="362" spans="1:19" ht="12.75" customHeight="1">
      <c r="A362" s="963"/>
      <c r="B362" s="776"/>
      <c r="C362" s="777"/>
      <c r="D362" s="840"/>
      <c r="E362" s="840"/>
      <c r="F362" s="16" t="s">
        <v>125</v>
      </c>
      <c r="G362" s="14" t="s">
        <v>125</v>
      </c>
      <c r="H362" s="14" t="s">
        <v>125</v>
      </c>
      <c r="I362" s="14" t="s">
        <v>125</v>
      </c>
      <c r="J362" s="312"/>
      <c r="L362" s="160"/>
      <c r="M362" s="161"/>
      <c r="O362" s="810"/>
      <c r="R362" s="290"/>
      <c r="S362" s="388"/>
    </row>
    <row r="363" spans="1:19" ht="7.5" customHeight="1">
      <c r="A363" s="963"/>
      <c r="B363" s="776"/>
      <c r="C363" s="777"/>
      <c r="D363" s="14"/>
      <c r="E363" s="37"/>
      <c r="F363" s="14"/>
      <c r="G363" s="16"/>
      <c r="H363" s="14"/>
      <c r="I363" s="14"/>
      <c r="J363" s="312"/>
      <c r="L363" s="160"/>
      <c r="M363" s="161"/>
      <c r="O363" s="810"/>
      <c r="R363" s="290"/>
      <c r="S363" s="388"/>
    </row>
    <row r="364" spans="1:19" ht="14.25" customHeight="1">
      <c r="A364" s="963"/>
      <c r="B364" s="776"/>
      <c r="C364" s="777"/>
      <c r="D364" s="14"/>
      <c r="E364" s="43" t="s">
        <v>345</v>
      </c>
      <c r="F364" s="43" t="s">
        <v>292</v>
      </c>
      <c r="G364" s="45" t="s">
        <v>294</v>
      </c>
      <c r="H364" s="43" t="s">
        <v>296</v>
      </c>
      <c r="I364" s="43" t="s">
        <v>320</v>
      </c>
      <c r="J364" s="312"/>
      <c r="L364" s="160"/>
      <c r="M364" s="161"/>
      <c r="O364" s="810"/>
      <c r="R364" s="290"/>
      <c r="S364" s="388"/>
    </row>
    <row r="365" spans="1:19" ht="13.5" customHeight="1">
      <c r="A365" s="963"/>
      <c r="B365" s="766" t="s">
        <v>403</v>
      </c>
      <c r="C365" s="767"/>
      <c r="D365" s="14"/>
      <c r="E365" s="972" t="s">
        <v>346</v>
      </c>
      <c r="F365" s="43" t="s">
        <v>293</v>
      </c>
      <c r="G365" s="45" t="s">
        <v>295</v>
      </c>
      <c r="H365" s="43" t="s">
        <v>297</v>
      </c>
      <c r="I365" s="43" t="s">
        <v>322</v>
      </c>
      <c r="J365" s="312"/>
      <c r="L365" s="160"/>
      <c r="M365" s="161"/>
      <c r="O365" s="810"/>
      <c r="R365" s="290"/>
      <c r="S365" s="388"/>
    </row>
    <row r="366" spans="1:19" ht="14.25" customHeight="1">
      <c r="A366" s="963"/>
      <c r="B366" s="864" t="s">
        <v>443</v>
      </c>
      <c r="C366" s="866"/>
      <c r="D366" s="14"/>
      <c r="E366" s="972"/>
      <c r="F366" s="43" t="s">
        <v>257</v>
      </c>
      <c r="G366" s="45" t="s">
        <v>298</v>
      </c>
      <c r="H366" s="43" t="s">
        <v>271</v>
      </c>
      <c r="I366" s="43" t="s">
        <v>321</v>
      </c>
      <c r="J366" s="312"/>
      <c r="L366" s="160"/>
      <c r="M366" s="161"/>
      <c r="R366" s="293"/>
      <c r="S366" s="388"/>
    </row>
    <row r="367" spans="1:19" ht="29.25" customHeight="1">
      <c r="A367" s="963"/>
      <c r="B367" s="766" t="s">
        <v>526</v>
      </c>
      <c r="C367" s="767"/>
      <c r="D367" s="14"/>
      <c r="E367" s="49" t="s">
        <v>58</v>
      </c>
      <c r="F367" s="43"/>
      <c r="G367" s="43" t="s">
        <v>283</v>
      </c>
      <c r="H367" s="51"/>
      <c r="I367" s="51"/>
      <c r="J367" s="312"/>
      <c r="L367" s="160"/>
      <c r="M367" s="161"/>
      <c r="P367" s="42"/>
      <c r="R367" s="293"/>
      <c r="S367" s="388"/>
    </row>
    <row r="368" spans="1:19" ht="12.75" customHeight="1">
      <c r="A368" s="963"/>
      <c r="B368" s="766"/>
      <c r="C368" s="767"/>
      <c r="D368" s="756">
        <f>IF(AND(E368="",F368="",G368="",H368="",I368=""),IF(fio="","",0),"")</f>
      </c>
      <c r="E368" s="764"/>
      <c r="F368" s="764"/>
      <c r="G368" s="764"/>
      <c r="H368" s="764"/>
      <c r="I368" s="764"/>
      <c r="J368" s="312"/>
      <c r="L368" s="160"/>
      <c r="M368" s="161"/>
      <c r="P368" s="34"/>
      <c r="R368" s="293"/>
      <c r="S368" s="388"/>
    </row>
    <row r="369" spans="1:19" ht="12.75">
      <c r="A369" s="964"/>
      <c r="B369" s="768"/>
      <c r="C369" s="769"/>
      <c r="D369" s="757"/>
      <c r="E369" s="765"/>
      <c r="F369" s="765"/>
      <c r="G369" s="765"/>
      <c r="H369" s="765"/>
      <c r="I369" s="765"/>
      <c r="J369" s="312"/>
      <c r="K369" s="153">
        <f>SUM(E368:I369)</f>
        <v>0</v>
      </c>
      <c r="L369" s="160"/>
      <c r="M369" s="161"/>
      <c r="R369" s="293"/>
      <c r="S369" s="388"/>
    </row>
    <row r="370" spans="1:19" ht="12.75" customHeight="1">
      <c r="A370" s="785" t="s">
        <v>156</v>
      </c>
      <c r="B370" s="788" t="s">
        <v>121</v>
      </c>
      <c r="C370" s="789"/>
      <c r="D370" s="856" t="s">
        <v>138</v>
      </c>
      <c r="E370" s="800" t="s">
        <v>122</v>
      </c>
      <c r="F370" s="852"/>
      <c r="G370" s="852"/>
      <c r="H370" s="852"/>
      <c r="I370" s="853"/>
      <c r="J370" s="312"/>
      <c r="L370" s="160"/>
      <c r="M370" s="161"/>
      <c r="R370" s="293"/>
      <c r="S370" s="388"/>
    </row>
    <row r="371" spans="1:19" ht="12.75">
      <c r="A371" s="786"/>
      <c r="B371" s="790"/>
      <c r="C371" s="791"/>
      <c r="D371" s="857"/>
      <c r="E371" s="782" t="s">
        <v>130</v>
      </c>
      <c r="F371" s="784"/>
      <c r="G371" s="784"/>
      <c r="H371" s="784"/>
      <c r="I371" s="783"/>
      <c r="J371" s="312"/>
      <c r="L371" s="160"/>
      <c r="M371" s="161"/>
      <c r="R371" s="293"/>
      <c r="S371" s="388"/>
    </row>
    <row r="372" spans="1:19" ht="12.75">
      <c r="A372" s="787"/>
      <c r="B372" s="792"/>
      <c r="C372" s="793"/>
      <c r="D372" s="858"/>
      <c r="E372" s="2">
        <v>0</v>
      </c>
      <c r="F372" s="903">
        <v>30</v>
      </c>
      <c r="G372" s="902"/>
      <c r="H372" s="903">
        <v>50</v>
      </c>
      <c r="I372" s="902"/>
      <c r="J372" s="312"/>
      <c r="L372" s="160"/>
      <c r="M372" s="161"/>
      <c r="O372" s="91"/>
      <c r="P372" s="906"/>
      <c r="R372" s="3"/>
      <c r="S372" s="388"/>
    </row>
    <row r="373" spans="1:19" ht="30.75" customHeight="1">
      <c r="A373" s="725" t="s">
        <v>449</v>
      </c>
      <c r="B373" s="774" t="s">
        <v>405</v>
      </c>
      <c r="C373" s="775"/>
      <c r="D373" s="859" t="s">
        <v>314</v>
      </c>
      <c r="E373" s="13" t="s">
        <v>313</v>
      </c>
      <c r="F373" s="871" t="s">
        <v>490</v>
      </c>
      <c r="G373" s="873"/>
      <c r="H373" s="871" t="s">
        <v>330</v>
      </c>
      <c r="I373" s="873"/>
      <c r="J373" s="312"/>
      <c r="L373" s="160"/>
      <c r="M373" s="161"/>
      <c r="O373" s="91"/>
      <c r="P373" s="906"/>
      <c r="R373" s="3"/>
      <c r="S373" s="388"/>
    </row>
    <row r="374" spans="1:19" ht="12.75">
      <c r="A374" s="726"/>
      <c r="B374" s="766" t="s">
        <v>403</v>
      </c>
      <c r="C374" s="767"/>
      <c r="D374" s="860"/>
      <c r="E374" s="756">
        <f>IF(AND(F374="",H374=""),IF(fio="","",0),"")</f>
      </c>
      <c r="F374" s="830"/>
      <c r="G374" s="831"/>
      <c r="H374" s="830"/>
      <c r="I374" s="831"/>
      <c r="J374" s="312"/>
      <c r="O374" s="91"/>
      <c r="P374" s="906"/>
      <c r="R374" s="3"/>
      <c r="S374" s="388"/>
    </row>
    <row r="375" spans="1:19" ht="12.75" customHeight="1">
      <c r="A375" s="727"/>
      <c r="B375" s="768"/>
      <c r="C375" s="769"/>
      <c r="D375" s="861"/>
      <c r="E375" s="757"/>
      <c r="F375" s="832"/>
      <c r="G375" s="833"/>
      <c r="H375" s="832"/>
      <c r="I375" s="833"/>
      <c r="J375" s="312"/>
      <c r="K375" s="153">
        <f>MAX(E374:I375)</f>
        <v>0</v>
      </c>
      <c r="L375" s="160">
        <v>50</v>
      </c>
      <c r="M375" s="161"/>
      <c r="O375" s="91"/>
      <c r="P375" s="810"/>
      <c r="R375" s="3"/>
      <c r="S375" s="388"/>
    </row>
    <row r="376" spans="1:19" ht="14.25">
      <c r="A376" s="785" t="s">
        <v>156</v>
      </c>
      <c r="B376" s="788" t="s">
        <v>121</v>
      </c>
      <c r="C376" s="789"/>
      <c r="D376" s="827" t="s">
        <v>122</v>
      </c>
      <c r="E376" s="828"/>
      <c r="F376" s="828"/>
      <c r="G376" s="828"/>
      <c r="H376" s="828"/>
      <c r="I376" s="829"/>
      <c r="J376" s="312"/>
      <c r="O376" s="91"/>
      <c r="P376" s="810"/>
      <c r="R376" s="3"/>
      <c r="S376" s="388"/>
    </row>
    <row r="377" spans="1:19" ht="12.75">
      <c r="A377" s="786"/>
      <c r="B377" s="790"/>
      <c r="C377" s="791"/>
      <c r="D377" s="782" t="s">
        <v>129</v>
      </c>
      <c r="E377" s="784"/>
      <c r="F377" s="784"/>
      <c r="G377" s="784"/>
      <c r="H377" s="784"/>
      <c r="I377" s="783"/>
      <c r="J377" s="312"/>
      <c r="K377" s="32"/>
      <c r="L377" s="254"/>
      <c r="M377" s="253"/>
      <c r="O377" s="91"/>
      <c r="P377" s="810"/>
      <c r="R377" s="3"/>
      <c r="S377" s="388"/>
    </row>
    <row r="378" spans="1:19" ht="16.5" customHeight="1">
      <c r="A378" s="787"/>
      <c r="B378" s="792"/>
      <c r="C378" s="793"/>
      <c r="D378" s="2">
        <v>0</v>
      </c>
      <c r="E378" s="250" t="s">
        <v>439</v>
      </c>
      <c r="F378" s="11" t="s">
        <v>335</v>
      </c>
      <c r="G378" s="11" t="s">
        <v>359</v>
      </c>
      <c r="H378" s="11" t="s">
        <v>360</v>
      </c>
      <c r="I378" s="11" t="s">
        <v>361</v>
      </c>
      <c r="J378" s="312"/>
      <c r="K378" s="32"/>
      <c r="L378" s="254"/>
      <c r="M378" s="253"/>
      <c r="O378" s="91"/>
      <c r="P378" s="810"/>
      <c r="R378" s="3"/>
      <c r="S378" s="388"/>
    </row>
    <row r="379" spans="1:19" ht="12.75" customHeight="1">
      <c r="A379" s="967" t="s">
        <v>450</v>
      </c>
      <c r="B379" s="774" t="s">
        <v>407</v>
      </c>
      <c r="C379" s="775"/>
      <c r="D379" s="839" t="s">
        <v>315</v>
      </c>
      <c r="E379" s="839" t="s">
        <v>490</v>
      </c>
      <c r="F379" s="16" t="s">
        <v>253</v>
      </c>
      <c r="G379" s="13" t="s">
        <v>362</v>
      </c>
      <c r="H379" s="17" t="s">
        <v>363</v>
      </c>
      <c r="I379" s="17" t="s">
        <v>364</v>
      </c>
      <c r="J379" s="312"/>
      <c r="K379" s="32"/>
      <c r="L379" s="254"/>
      <c r="M379" s="253"/>
      <c r="O379" s="91"/>
      <c r="P379" s="810"/>
      <c r="R379" s="3"/>
      <c r="S379" s="388"/>
    </row>
    <row r="380" spans="1:19" ht="12.75" customHeight="1">
      <c r="A380" s="968"/>
      <c r="B380" s="776"/>
      <c r="C380" s="777"/>
      <c r="D380" s="840"/>
      <c r="E380" s="840"/>
      <c r="F380" s="14" t="s">
        <v>125</v>
      </c>
      <c r="G380" s="14" t="s">
        <v>125</v>
      </c>
      <c r="H380" s="15" t="s">
        <v>125</v>
      </c>
      <c r="I380" s="15" t="s">
        <v>406</v>
      </c>
      <c r="J380" s="312"/>
      <c r="K380" s="32"/>
      <c r="L380" s="254"/>
      <c r="M380" s="253"/>
      <c r="O380" s="91"/>
      <c r="P380" s="810"/>
      <c r="R380" s="3"/>
      <c r="S380" s="388"/>
    </row>
    <row r="381" spans="1:19" ht="6" customHeight="1">
      <c r="A381" s="968"/>
      <c r="B381" s="776"/>
      <c r="C381" s="777"/>
      <c r="D381" s="840"/>
      <c r="E381" s="14"/>
      <c r="F381" s="306"/>
      <c r="G381" s="14"/>
      <c r="H381" s="307"/>
      <c r="I381" s="308"/>
      <c r="J381" s="312"/>
      <c r="K381" s="32"/>
      <c r="L381" s="254"/>
      <c r="M381" s="253"/>
      <c r="O381" s="91"/>
      <c r="P381" s="810"/>
      <c r="R381" s="3"/>
      <c r="S381" s="388"/>
    </row>
    <row r="382" spans="1:19" ht="12.75" customHeight="1">
      <c r="A382" s="968"/>
      <c r="B382" s="776"/>
      <c r="C382" s="777"/>
      <c r="D382" s="840"/>
      <c r="E382" s="1029" t="s">
        <v>365</v>
      </c>
      <c r="F382" s="1030"/>
      <c r="G382" s="1030"/>
      <c r="H382" s="1030"/>
      <c r="I382" s="1031"/>
      <c r="J382" s="312"/>
      <c r="K382" s="32"/>
      <c r="L382" s="254"/>
      <c r="M382" s="253"/>
      <c r="O382" s="91"/>
      <c r="P382" s="810"/>
      <c r="R382" s="3"/>
      <c r="S382" s="388"/>
    </row>
    <row r="383" spans="1:19" ht="13.5" customHeight="1">
      <c r="A383" s="968"/>
      <c r="B383" s="766" t="s">
        <v>479</v>
      </c>
      <c r="C383" s="767"/>
      <c r="D383" s="840"/>
      <c r="E383" s="309" t="s">
        <v>366</v>
      </c>
      <c r="F383" s="51" t="s">
        <v>367</v>
      </c>
      <c r="G383" s="51" t="s">
        <v>368</v>
      </c>
      <c r="H383" s="51" t="s">
        <v>369</v>
      </c>
      <c r="I383" s="51" t="s">
        <v>370</v>
      </c>
      <c r="J383" s="312"/>
      <c r="K383" s="32"/>
      <c r="L383" s="254"/>
      <c r="M383" s="253"/>
      <c r="O383" s="91"/>
      <c r="P383" s="810"/>
      <c r="R383" s="3"/>
      <c r="S383" s="388"/>
    </row>
    <row r="384" spans="1:19" ht="24">
      <c r="A384" s="968"/>
      <c r="B384" s="766"/>
      <c r="C384" s="767"/>
      <c r="D384" s="840"/>
      <c r="E384" s="309" t="s">
        <v>371</v>
      </c>
      <c r="F384" s="51" t="s">
        <v>372</v>
      </c>
      <c r="G384" s="51" t="s">
        <v>373</v>
      </c>
      <c r="H384" s="51" t="s">
        <v>374</v>
      </c>
      <c r="I384" s="51" t="s">
        <v>375</v>
      </c>
      <c r="J384" s="312"/>
      <c r="K384" s="32"/>
      <c r="L384" s="254"/>
      <c r="M384" s="253"/>
      <c r="O384" s="91"/>
      <c r="P384" s="810"/>
      <c r="R384" s="3"/>
      <c r="S384" s="388"/>
    </row>
    <row r="385" spans="1:19" ht="15" customHeight="1">
      <c r="A385" s="968"/>
      <c r="B385" s="766"/>
      <c r="C385" s="767"/>
      <c r="D385" s="840"/>
      <c r="E385" s="52"/>
      <c r="F385" s="51"/>
      <c r="G385" s="51"/>
      <c r="H385" s="43" t="s">
        <v>376</v>
      </c>
      <c r="I385" s="51" t="s">
        <v>377</v>
      </c>
      <c r="J385" s="312"/>
      <c r="K385" s="32"/>
      <c r="L385" s="254"/>
      <c r="M385" s="253"/>
      <c r="R385" s="293"/>
      <c r="S385" s="388"/>
    </row>
    <row r="386" spans="1:19" ht="27.75" customHeight="1">
      <c r="A386" s="968"/>
      <c r="B386" s="965" t="s">
        <v>443</v>
      </c>
      <c r="C386" s="966"/>
      <c r="D386" s="841"/>
      <c r="E386" s="305" t="s">
        <v>378</v>
      </c>
      <c r="F386" s="310" t="s">
        <v>379</v>
      </c>
      <c r="G386" s="310" t="s">
        <v>380</v>
      </c>
      <c r="H386" s="310" t="s">
        <v>381</v>
      </c>
      <c r="I386" s="310" t="s">
        <v>382</v>
      </c>
      <c r="J386" s="312"/>
      <c r="K386" s="32"/>
      <c r="L386" s="254"/>
      <c r="M386" s="253"/>
      <c r="R386" s="293"/>
      <c r="S386" s="388"/>
    </row>
    <row r="387" spans="1:19" ht="12.75" customHeight="1">
      <c r="A387" s="968"/>
      <c r="B387" s="766" t="s">
        <v>527</v>
      </c>
      <c r="C387" s="767"/>
      <c r="D387" s="756">
        <f>IF(AND(E387="",F387="",G387="",I387=""),IF(fio="","",0),"")</f>
      </c>
      <c r="E387" s="907"/>
      <c r="F387" s="907"/>
      <c r="G387" s="907"/>
      <c r="H387" s="907"/>
      <c r="I387" s="907"/>
      <c r="J387" s="312"/>
      <c r="K387" s="32"/>
      <c r="L387" s="254"/>
      <c r="M387" s="253"/>
      <c r="R387" s="293"/>
      <c r="S387" s="388"/>
    </row>
    <row r="388" spans="1:19" ht="12.75">
      <c r="A388" s="969"/>
      <c r="B388" s="768"/>
      <c r="C388" s="769"/>
      <c r="D388" s="757"/>
      <c r="E388" s="908"/>
      <c r="F388" s="908"/>
      <c r="G388" s="908"/>
      <c r="H388" s="908"/>
      <c r="I388" s="908"/>
      <c r="J388" s="312"/>
      <c r="K388" s="32">
        <f>SUM(D387:I388)</f>
        <v>0</v>
      </c>
      <c r="L388" s="254"/>
      <c r="M388" s="253">
        <v>400</v>
      </c>
      <c r="R388" s="293"/>
      <c r="S388" s="388"/>
    </row>
    <row r="389" spans="1:19" ht="14.25" customHeight="1">
      <c r="A389" s="785" t="s">
        <v>156</v>
      </c>
      <c r="B389" s="788" t="s">
        <v>121</v>
      </c>
      <c r="C389" s="789"/>
      <c r="D389" s="856" t="s">
        <v>138</v>
      </c>
      <c r="E389" s="827" t="s">
        <v>122</v>
      </c>
      <c r="F389" s="828"/>
      <c r="G389" s="828"/>
      <c r="H389" s="828"/>
      <c r="I389" s="829"/>
      <c r="J389" s="312"/>
      <c r="K389" s="32"/>
      <c r="L389" s="254"/>
      <c r="M389" s="253"/>
      <c r="R389" s="293"/>
      <c r="S389" s="388"/>
    </row>
    <row r="390" spans="1:19" ht="12.75" customHeight="1">
      <c r="A390" s="786"/>
      <c r="B390" s="790"/>
      <c r="C390" s="791"/>
      <c r="D390" s="857"/>
      <c r="E390" s="782" t="s">
        <v>129</v>
      </c>
      <c r="F390" s="784"/>
      <c r="G390" s="784"/>
      <c r="H390" s="784"/>
      <c r="I390" s="783"/>
      <c r="J390" s="312"/>
      <c r="L390" s="160"/>
      <c r="M390" s="161"/>
      <c r="R390" s="293"/>
      <c r="S390" s="388"/>
    </row>
    <row r="391" spans="1:19" ht="12.75" customHeight="1">
      <c r="A391" s="787"/>
      <c r="B391" s="792"/>
      <c r="C391" s="793"/>
      <c r="D391" s="858"/>
      <c r="E391" s="2">
        <v>0</v>
      </c>
      <c r="F391" s="11">
        <v>10</v>
      </c>
      <c r="G391" s="11">
        <v>20</v>
      </c>
      <c r="H391" s="11">
        <v>20</v>
      </c>
      <c r="I391" s="11" t="s">
        <v>227</v>
      </c>
      <c r="J391" s="312"/>
      <c r="L391" s="160"/>
      <c r="M391" s="161"/>
      <c r="R391" s="290"/>
      <c r="S391" s="388"/>
    </row>
    <row r="392" spans="1:19" s="146" customFormat="1" ht="67.5" customHeight="1">
      <c r="A392" s="725" t="s">
        <v>452</v>
      </c>
      <c r="B392" s="774" t="s">
        <v>516</v>
      </c>
      <c r="C392" s="775"/>
      <c r="D392" s="859" t="s">
        <v>174</v>
      </c>
      <c r="E392" s="1" t="s">
        <v>176</v>
      </c>
      <c r="F392" s="35" t="s">
        <v>491</v>
      </c>
      <c r="G392" s="35" t="s">
        <v>331</v>
      </c>
      <c r="H392" s="35" t="s">
        <v>332</v>
      </c>
      <c r="I392" s="1" t="s">
        <v>333</v>
      </c>
      <c r="J392" s="315"/>
      <c r="K392" s="153"/>
      <c r="L392" s="160"/>
      <c r="M392" s="161"/>
      <c r="N392" s="71"/>
      <c r="R392" s="292"/>
      <c r="S392" s="389"/>
    </row>
    <row r="393" spans="1:19" ht="12" customHeight="1">
      <c r="A393" s="726"/>
      <c r="B393" s="766" t="s">
        <v>512</v>
      </c>
      <c r="C393" s="767"/>
      <c r="D393" s="860"/>
      <c r="E393" s="756">
        <f>IF(AND(F393="",G393="",H393="",I393=""),IF(fio="","",0),"")</f>
      </c>
      <c r="F393" s="932"/>
      <c r="G393" s="932"/>
      <c r="H393" s="932"/>
      <c r="I393" s="932"/>
      <c r="J393" s="312"/>
      <c r="L393" s="160"/>
      <c r="M393" s="161"/>
      <c r="R393" s="293"/>
      <c r="S393" s="388"/>
    </row>
    <row r="394" spans="1:19" ht="12" customHeight="1">
      <c r="A394" s="727"/>
      <c r="B394" s="768"/>
      <c r="C394" s="769"/>
      <c r="D394" s="861"/>
      <c r="E394" s="757"/>
      <c r="F394" s="970"/>
      <c r="G394" s="970"/>
      <c r="H394" s="970"/>
      <c r="I394" s="970"/>
      <c r="J394" s="312"/>
      <c r="K394" s="153">
        <f>SUM(E393:I394)</f>
        <v>0</v>
      </c>
      <c r="L394" s="160"/>
      <c r="M394" s="161">
        <f>SUM(E391:I391)</f>
        <v>50</v>
      </c>
      <c r="P394" s="42"/>
      <c r="R394" s="293"/>
      <c r="S394" s="388"/>
    </row>
    <row r="395" spans="1:19" ht="14.25">
      <c r="A395" s="785" t="s">
        <v>156</v>
      </c>
      <c r="B395" s="788" t="s">
        <v>121</v>
      </c>
      <c r="C395" s="789"/>
      <c r="D395" s="856" t="s">
        <v>138</v>
      </c>
      <c r="E395" s="800" t="s">
        <v>122</v>
      </c>
      <c r="F395" s="852"/>
      <c r="G395" s="852"/>
      <c r="H395" s="852"/>
      <c r="I395" s="853"/>
      <c r="J395" s="312"/>
      <c r="L395" s="160"/>
      <c r="M395" s="161"/>
      <c r="R395" s="293"/>
      <c r="S395" s="388"/>
    </row>
    <row r="396" spans="1:19" ht="12.75">
      <c r="A396" s="786"/>
      <c r="B396" s="790"/>
      <c r="C396" s="791"/>
      <c r="D396" s="857"/>
      <c r="E396" s="782" t="s">
        <v>130</v>
      </c>
      <c r="F396" s="784"/>
      <c r="G396" s="784"/>
      <c r="H396" s="784"/>
      <c r="I396" s="783"/>
      <c r="J396" s="312"/>
      <c r="L396" s="160"/>
      <c r="M396" s="161"/>
      <c r="R396" s="293"/>
      <c r="S396" s="388"/>
    </row>
    <row r="397" spans="1:19" ht="12.75">
      <c r="A397" s="787"/>
      <c r="B397" s="792"/>
      <c r="C397" s="793"/>
      <c r="D397" s="858"/>
      <c r="E397" s="2">
        <v>0</v>
      </c>
      <c r="F397" s="973" t="s">
        <v>232</v>
      </c>
      <c r="G397" s="974"/>
      <c r="H397" s="973" t="s">
        <v>233</v>
      </c>
      <c r="I397" s="975"/>
      <c r="J397" s="312"/>
      <c r="L397" s="160"/>
      <c r="M397" s="161"/>
      <c r="R397" s="293"/>
      <c r="S397" s="388"/>
    </row>
    <row r="398" spans="1:19" ht="12.75" customHeight="1">
      <c r="A398" s="725" t="s">
        <v>451</v>
      </c>
      <c r="B398" s="774" t="s">
        <v>444</v>
      </c>
      <c r="C398" s="775"/>
      <c r="D398" s="859" t="s">
        <v>528</v>
      </c>
      <c r="E398" s="844" t="s">
        <v>228</v>
      </c>
      <c r="F398" s="758" t="s">
        <v>628</v>
      </c>
      <c r="G398" s="759"/>
      <c r="H398" s="844" t="s">
        <v>263</v>
      </c>
      <c r="I398" s="845"/>
      <c r="J398" s="312"/>
      <c r="L398" s="160"/>
      <c r="M398" s="161"/>
      <c r="R398" s="293"/>
      <c r="S398" s="388"/>
    </row>
    <row r="399" spans="1:19" ht="12.75" customHeight="1">
      <c r="A399" s="726"/>
      <c r="B399" s="776"/>
      <c r="C399" s="777"/>
      <c r="D399" s="860"/>
      <c r="E399" s="846"/>
      <c r="F399" s="848" t="s">
        <v>275</v>
      </c>
      <c r="G399" s="849"/>
      <c r="H399" s="846"/>
      <c r="I399" s="847"/>
      <c r="J399" s="312"/>
      <c r="L399" s="160"/>
      <c r="M399" s="161"/>
      <c r="R399" s="293"/>
      <c r="S399" s="388"/>
    </row>
    <row r="400" spans="1:19" ht="12.75" customHeight="1">
      <c r="A400" s="726"/>
      <c r="B400" s="776"/>
      <c r="C400" s="777"/>
      <c r="D400" s="860"/>
      <c r="E400" s="846"/>
      <c r="F400" s="848"/>
      <c r="G400" s="849"/>
      <c r="H400" s="912" t="s">
        <v>264</v>
      </c>
      <c r="I400" s="913"/>
      <c r="J400" s="312"/>
      <c r="L400" s="160"/>
      <c r="M400" s="161"/>
      <c r="N400" s="147"/>
      <c r="R400" s="293"/>
      <c r="S400" s="388"/>
    </row>
    <row r="401" spans="1:19" ht="12.75" customHeight="1">
      <c r="A401" s="726"/>
      <c r="B401" s="776"/>
      <c r="C401" s="777"/>
      <c r="D401" s="860"/>
      <c r="E401" s="846"/>
      <c r="F401" s="848"/>
      <c r="G401" s="849"/>
      <c r="H401" s="912"/>
      <c r="I401" s="913"/>
      <c r="J401" s="312"/>
      <c r="L401" s="160"/>
      <c r="M401" s="161"/>
      <c r="N401" s="147"/>
      <c r="R401" s="293"/>
      <c r="S401" s="388"/>
    </row>
    <row r="402" spans="1:19" ht="12.75" customHeight="1">
      <c r="A402" s="726"/>
      <c r="B402" s="776"/>
      <c r="C402" s="777"/>
      <c r="D402" s="860"/>
      <c r="E402" s="846"/>
      <c r="F402" s="848"/>
      <c r="G402" s="849"/>
      <c r="H402" s="912"/>
      <c r="I402" s="913"/>
      <c r="J402" s="312"/>
      <c r="L402" s="160"/>
      <c r="M402" s="161"/>
      <c r="N402" s="147"/>
      <c r="R402" s="293"/>
      <c r="S402" s="388"/>
    </row>
    <row r="403" spans="1:19" ht="2.25" customHeight="1">
      <c r="A403" s="726"/>
      <c r="B403" s="766" t="s">
        <v>403</v>
      </c>
      <c r="C403" s="767"/>
      <c r="D403" s="860"/>
      <c r="E403" s="909"/>
      <c r="F403" s="850"/>
      <c r="G403" s="851"/>
      <c r="H403" s="914"/>
      <c r="I403" s="915"/>
      <c r="J403" s="312"/>
      <c r="L403" s="160"/>
      <c r="M403" s="161"/>
      <c r="N403" s="165"/>
      <c r="O403" s="42"/>
      <c r="R403" s="293"/>
      <c r="S403" s="388"/>
    </row>
    <row r="404" spans="1:19" ht="12" customHeight="1">
      <c r="A404" s="726"/>
      <c r="B404" s="766"/>
      <c r="C404" s="767"/>
      <c r="D404" s="860"/>
      <c r="E404" s="756">
        <f>IF(AND(F404="",H404=""),IF(fio="","",0),"")</f>
      </c>
      <c r="F404" s="830"/>
      <c r="G404" s="831"/>
      <c r="H404" s="830"/>
      <c r="I404" s="831"/>
      <c r="J404" s="312"/>
      <c r="L404" s="160"/>
      <c r="M404" s="161"/>
      <c r="O404" s="34"/>
      <c r="R404" s="293"/>
      <c r="S404" s="388"/>
    </row>
    <row r="405" spans="1:19" ht="12" customHeight="1">
      <c r="A405" s="727"/>
      <c r="B405" s="768"/>
      <c r="C405" s="769"/>
      <c r="D405" s="861"/>
      <c r="E405" s="757"/>
      <c r="F405" s="832"/>
      <c r="G405" s="833"/>
      <c r="H405" s="832"/>
      <c r="I405" s="833"/>
      <c r="J405" s="312"/>
      <c r="K405" s="153">
        <f>MAX(E404:I405)</f>
        <v>0</v>
      </c>
      <c r="L405" s="160"/>
      <c r="M405" s="161">
        <v>500</v>
      </c>
      <c r="R405" s="293"/>
      <c r="S405" s="388"/>
    </row>
    <row r="406" spans="1:19" ht="57.75" customHeight="1">
      <c r="A406" s="16"/>
      <c r="B406" s="255"/>
      <c r="C406" s="255"/>
      <c r="D406" s="163"/>
      <c r="E406" s="164"/>
      <c r="F406" s="172"/>
      <c r="G406" s="172"/>
      <c r="H406" s="172"/>
      <c r="I406" s="172"/>
      <c r="J406" s="312"/>
      <c r="K406" s="348"/>
      <c r="L406" s="348"/>
      <c r="M406" s="348"/>
      <c r="N406" s="348"/>
      <c r="R406" s="108"/>
      <c r="S406" s="388"/>
    </row>
    <row r="407" spans="1:19" s="146" customFormat="1" ht="12.75" customHeight="1">
      <c r="A407" s="571" t="s">
        <v>137</v>
      </c>
      <c r="B407" s="571"/>
      <c r="C407" s="571"/>
      <c r="D407" s="53"/>
      <c r="E407" s="256"/>
      <c r="F407" s="257"/>
      <c r="G407" s="257"/>
      <c r="H407" s="257"/>
      <c r="I407" s="257"/>
      <c r="J407" s="315"/>
      <c r="K407" s="157"/>
      <c r="L407" s="572"/>
      <c r="M407" s="572" t="s">
        <v>159</v>
      </c>
      <c r="N407" s="158"/>
      <c r="R407" s="292"/>
      <c r="S407" s="389"/>
    </row>
    <row r="408" spans="1:19" ht="11.25" customHeight="1">
      <c r="A408" s="986" t="s">
        <v>453</v>
      </c>
      <c r="B408" s="990" t="s">
        <v>132</v>
      </c>
      <c r="C408" s="990"/>
      <c r="D408" s="990"/>
      <c r="E408" s="990"/>
      <c r="F408" s="990"/>
      <c r="G408" s="990"/>
      <c r="H408" s="990"/>
      <c r="I408" s="990"/>
      <c r="J408" s="312"/>
      <c r="L408" s="160"/>
      <c r="M408" s="161"/>
      <c r="R408" s="293"/>
      <c r="S408" s="388"/>
    </row>
    <row r="409" spans="1:19" ht="12.75">
      <c r="A409" s="986"/>
      <c r="B409" s="991"/>
      <c r="C409" s="991"/>
      <c r="D409" s="991"/>
      <c r="E409" s="991"/>
      <c r="F409" s="991"/>
      <c r="G409" s="991"/>
      <c r="H409" s="991"/>
      <c r="I409" s="991"/>
      <c r="J409" s="312"/>
      <c r="L409" s="160"/>
      <c r="M409" s="161"/>
      <c r="R409" s="293"/>
      <c r="S409" s="388"/>
    </row>
    <row r="410" spans="1:19" ht="12.75" customHeight="1">
      <c r="A410" s="785" t="s">
        <v>156</v>
      </c>
      <c r="B410" s="788" t="s">
        <v>121</v>
      </c>
      <c r="C410" s="789"/>
      <c r="D410" s="800" t="s">
        <v>122</v>
      </c>
      <c r="E410" s="852"/>
      <c r="F410" s="852"/>
      <c r="G410" s="852"/>
      <c r="H410" s="852"/>
      <c r="I410" s="853"/>
      <c r="J410" s="312"/>
      <c r="L410" s="160"/>
      <c r="M410" s="161"/>
      <c r="R410" s="293"/>
      <c r="S410" s="388"/>
    </row>
    <row r="411" spans="1:19" ht="12.75" customHeight="1">
      <c r="A411" s="786"/>
      <c r="B411" s="790"/>
      <c r="C411" s="791"/>
      <c r="D411" s="803" t="s">
        <v>129</v>
      </c>
      <c r="E411" s="842"/>
      <c r="F411" s="842"/>
      <c r="G411" s="842"/>
      <c r="H411" s="842"/>
      <c r="I411" s="843"/>
      <c r="J411" s="312"/>
      <c r="L411" s="160"/>
      <c r="M411" s="161"/>
      <c r="R411" s="293"/>
      <c r="S411" s="388"/>
    </row>
    <row r="412" spans="1:19" ht="12.75">
      <c r="A412" s="787"/>
      <c r="B412" s="792"/>
      <c r="C412" s="793"/>
      <c r="D412" s="18">
        <v>0</v>
      </c>
      <c r="E412" s="18">
        <v>50</v>
      </c>
      <c r="F412" s="18">
        <v>100</v>
      </c>
      <c r="G412" s="18">
        <v>200</v>
      </c>
      <c r="H412" s="18">
        <v>300</v>
      </c>
      <c r="I412" s="18">
        <v>150</v>
      </c>
      <c r="J412" s="312"/>
      <c r="L412" s="160"/>
      <c r="M412" s="161"/>
      <c r="R412" s="293"/>
      <c r="S412" s="388"/>
    </row>
    <row r="413" spans="1:19" ht="51.75" customHeight="1">
      <c r="A413" s="839" t="s">
        <v>454</v>
      </c>
      <c r="B413" s="774" t="s">
        <v>455</v>
      </c>
      <c r="C413" s="775"/>
      <c r="D413" s="839" t="s">
        <v>133</v>
      </c>
      <c r="E413" s="839" t="s">
        <v>490</v>
      </c>
      <c r="F413" s="839" t="s">
        <v>260</v>
      </c>
      <c r="G413" s="839" t="s">
        <v>128</v>
      </c>
      <c r="H413" s="839" t="s">
        <v>134</v>
      </c>
      <c r="I413" s="839" t="s">
        <v>456</v>
      </c>
      <c r="J413" s="312"/>
      <c r="L413" s="160"/>
      <c r="M413" s="161"/>
      <c r="R413" s="293"/>
      <c r="S413" s="388"/>
    </row>
    <row r="414" spans="1:19" ht="23.25" customHeight="1">
      <c r="A414" s="840"/>
      <c r="B414" s="776"/>
      <c r="C414" s="777"/>
      <c r="D414" s="840"/>
      <c r="E414" s="840"/>
      <c r="F414" s="840"/>
      <c r="G414" s="840"/>
      <c r="H414" s="840"/>
      <c r="I414" s="840"/>
      <c r="J414" s="312"/>
      <c r="L414" s="160"/>
      <c r="M414" s="161"/>
      <c r="R414" s="293"/>
      <c r="S414" s="388"/>
    </row>
    <row r="415" spans="1:19" ht="17.25" customHeight="1">
      <c r="A415" s="840"/>
      <c r="B415" s="766" t="s">
        <v>403</v>
      </c>
      <c r="C415" s="767"/>
      <c r="D415" s="840"/>
      <c r="E415" s="840"/>
      <c r="F415" s="840"/>
      <c r="G415" s="840"/>
      <c r="H415" s="840"/>
      <c r="I415" s="840"/>
      <c r="J415" s="312"/>
      <c r="L415" s="160"/>
      <c r="M415" s="161"/>
      <c r="R415" s="293"/>
      <c r="S415" s="388"/>
    </row>
    <row r="416" spans="1:19" ht="13.5">
      <c r="A416" s="840"/>
      <c r="B416" s="864" t="s">
        <v>443</v>
      </c>
      <c r="C416" s="866"/>
      <c r="D416" s="840"/>
      <c r="E416" s="840"/>
      <c r="F416" s="840"/>
      <c r="G416" s="840"/>
      <c r="H416" s="840"/>
      <c r="I416" s="840"/>
      <c r="J416" s="312"/>
      <c r="L416" s="160"/>
      <c r="M416" s="161"/>
      <c r="R416" s="293"/>
      <c r="S416" s="388"/>
    </row>
    <row r="417" spans="1:19" ht="6" customHeight="1">
      <c r="A417" s="840"/>
      <c r="B417" s="766" t="s">
        <v>529</v>
      </c>
      <c r="C417" s="767"/>
      <c r="D417" s="841"/>
      <c r="E417" s="841"/>
      <c r="F417" s="841"/>
      <c r="G417" s="841"/>
      <c r="H417" s="841"/>
      <c r="I417" s="841"/>
      <c r="J417" s="312"/>
      <c r="L417" s="160"/>
      <c r="M417" s="161"/>
      <c r="R417" s="293"/>
      <c r="S417" s="388"/>
    </row>
    <row r="418" spans="1:19" ht="14.25" customHeight="1">
      <c r="A418" s="840"/>
      <c r="B418" s="766"/>
      <c r="C418" s="767"/>
      <c r="D418" s="756">
        <f>IF(AND(E418="",F418="",G418="",H418="",I418=""),IF(fio="","",0),"")</f>
      </c>
      <c r="E418" s="764"/>
      <c r="F418" s="764"/>
      <c r="G418" s="764"/>
      <c r="H418" s="764"/>
      <c r="I418" s="764"/>
      <c r="J418" s="316"/>
      <c r="K418" s="153">
        <f>SUM(D418:I419)</f>
        <v>0</v>
      </c>
      <c r="L418" s="160">
        <v>800</v>
      </c>
      <c r="M418" s="161"/>
      <c r="R418" s="293"/>
      <c r="S418" s="388"/>
    </row>
    <row r="419" spans="1:19" ht="12.75" customHeight="1">
      <c r="A419" s="841"/>
      <c r="B419" s="768"/>
      <c r="C419" s="769"/>
      <c r="D419" s="757"/>
      <c r="E419" s="765"/>
      <c r="F419" s="765"/>
      <c r="G419" s="765"/>
      <c r="H419" s="765"/>
      <c r="I419" s="765"/>
      <c r="J419" s="312"/>
      <c r="L419" s="166"/>
      <c r="M419" s="167"/>
      <c r="R419" s="293"/>
      <c r="S419" s="388"/>
    </row>
    <row r="420" spans="1:19" ht="11.25" customHeight="1">
      <c r="A420" s="960" t="s">
        <v>457</v>
      </c>
      <c r="B420" s="987" t="s">
        <v>135</v>
      </c>
      <c r="C420" s="988"/>
      <c r="D420" s="988"/>
      <c r="E420" s="988"/>
      <c r="F420" s="988"/>
      <c r="G420" s="988"/>
      <c r="H420" s="988"/>
      <c r="I420" s="722"/>
      <c r="J420" s="312"/>
      <c r="L420" s="71"/>
      <c r="M420" s="71"/>
      <c r="R420" s="293"/>
      <c r="S420" s="388"/>
    </row>
    <row r="421" spans="1:19" ht="12.75" customHeight="1">
      <c r="A421" s="961"/>
      <c r="B421" s="989"/>
      <c r="C421" s="989"/>
      <c r="D421" s="989"/>
      <c r="E421" s="989"/>
      <c r="F421" s="989"/>
      <c r="G421" s="989"/>
      <c r="H421" s="989"/>
      <c r="I421" s="724"/>
      <c r="J421" s="312"/>
      <c r="L421" s="71"/>
      <c r="M421" s="71"/>
      <c r="R421" s="293"/>
      <c r="S421" s="388"/>
    </row>
    <row r="422" spans="1:19" ht="14.25" customHeight="1">
      <c r="A422" s="785" t="s">
        <v>156</v>
      </c>
      <c r="B422" s="788" t="s">
        <v>121</v>
      </c>
      <c r="C422" s="815"/>
      <c r="D422" s="789"/>
      <c r="E422" s="800" t="s">
        <v>122</v>
      </c>
      <c r="F422" s="852"/>
      <c r="G422" s="852"/>
      <c r="H422" s="852"/>
      <c r="I422" s="853"/>
      <c r="J422" s="312"/>
      <c r="L422" s="71"/>
      <c r="M422" s="71"/>
      <c r="O422" s="54"/>
      <c r="P422" s="55"/>
      <c r="R422" s="293"/>
      <c r="S422" s="388"/>
    </row>
    <row r="423" spans="1:19" ht="12.75" customHeight="1">
      <c r="A423" s="786"/>
      <c r="B423" s="790"/>
      <c r="C423" s="816"/>
      <c r="D423" s="791"/>
      <c r="E423" s="803" t="s">
        <v>130</v>
      </c>
      <c r="F423" s="842"/>
      <c r="G423" s="842"/>
      <c r="H423" s="842"/>
      <c r="I423" s="843"/>
      <c r="J423" s="312"/>
      <c r="L423" s="71"/>
      <c r="M423" s="71"/>
      <c r="O423" s="54"/>
      <c r="P423" s="55"/>
      <c r="R423" s="293"/>
      <c r="S423" s="388"/>
    </row>
    <row r="424" spans="1:19" ht="12.75" customHeight="1">
      <c r="A424" s="787"/>
      <c r="B424" s="792"/>
      <c r="C424" s="817"/>
      <c r="D424" s="793"/>
      <c r="E424" s="2">
        <v>0</v>
      </c>
      <c r="F424" s="2">
        <v>100</v>
      </c>
      <c r="G424" s="2">
        <v>200</v>
      </c>
      <c r="H424" s="903">
        <v>300</v>
      </c>
      <c r="I424" s="902"/>
      <c r="J424" s="312"/>
      <c r="L424" s="71"/>
      <c r="M424" s="71"/>
      <c r="R424" s="293"/>
      <c r="S424" s="388"/>
    </row>
    <row r="425" spans="1:19" ht="15" customHeight="1">
      <c r="A425" s="754" t="s">
        <v>458</v>
      </c>
      <c r="B425" s="774" t="s">
        <v>533</v>
      </c>
      <c r="C425" s="862"/>
      <c r="D425" s="775"/>
      <c r="E425" s="839" t="s">
        <v>141</v>
      </c>
      <c r="F425" s="839" t="s">
        <v>626</v>
      </c>
      <c r="G425" s="839" t="s">
        <v>627</v>
      </c>
      <c r="H425" s="758" t="s">
        <v>136</v>
      </c>
      <c r="I425" s="759"/>
      <c r="J425" s="312"/>
      <c r="L425" s="168"/>
      <c r="M425" s="168"/>
      <c r="R425" s="293"/>
      <c r="S425" s="388"/>
    </row>
    <row r="426" spans="1:19" ht="12.75" customHeight="1">
      <c r="A426" s="754"/>
      <c r="B426" s="766" t="s">
        <v>460</v>
      </c>
      <c r="C426" s="855"/>
      <c r="D426" s="767"/>
      <c r="E426" s="840"/>
      <c r="F426" s="840"/>
      <c r="G426" s="840"/>
      <c r="H426" s="846" t="s">
        <v>530</v>
      </c>
      <c r="I426" s="847"/>
      <c r="J426" s="312"/>
      <c r="L426" s="168"/>
      <c r="M426" s="168"/>
      <c r="R426" s="293"/>
      <c r="S426" s="388"/>
    </row>
    <row r="427" spans="1:19" ht="12.75" customHeight="1">
      <c r="A427" s="754"/>
      <c r="B427" s="766"/>
      <c r="C427" s="855"/>
      <c r="D427" s="767"/>
      <c r="E427" s="840"/>
      <c r="F427" s="840"/>
      <c r="G427" s="840"/>
      <c r="H427" s="846"/>
      <c r="I427" s="847"/>
      <c r="J427" s="312"/>
      <c r="L427" s="168"/>
      <c r="M427" s="168"/>
      <c r="R427" s="293"/>
      <c r="S427" s="388"/>
    </row>
    <row r="428" spans="1:19" ht="2.25" customHeight="1">
      <c r="A428" s="754"/>
      <c r="B428" s="766"/>
      <c r="C428" s="855"/>
      <c r="D428" s="767"/>
      <c r="E428" s="840"/>
      <c r="F428" s="840"/>
      <c r="G428" s="840"/>
      <c r="H428" s="846"/>
      <c r="I428" s="847"/>
      <c r="J428" s="312"/>
      <c r="L428" s="168"/>
      <c r="M428" s="168"/>
      <c r="R428" s="293"/>
      <c r="S428" s="388"/>
    </row>
    <row r="429" spans="1:19" ht="15.75" customHeight="1">
      <c r="A429" s="754"/>
      <c r="B429" s="766" t="s">
        <v>480</v>
      </c>
      <c r="C429" s="855"/>
      <c r="D429" s="767"/>
      <c r="E429" s="840"/>
      <c r="F429" s="840"/>
      <c r="G429" s="840"/>
      <c r="H429" s="846"/>
      <c r="I429" s="847"/>
      <c r="J429" s="312"/>
      <c r="L429" s="168"/>
      <c r="M429" s="168"/>
      <c r="R429" s="293"/>
      <c r="S429" s="388"/>
    </row>
    <row r="430" spans="1:19" ht="15" customHeight="1">
      <c r="A430" s="754"/>
      <c r="B430" s="864" t="s">
        <v>461</v>
      </c>
      <c r="C430" s="865"/>
      <c r="D430" s="866"/>
      <c r="E430" s="840"/>
      <c r="F430" s="840"/>
      <c r="G430" s="840"/>
      <c r="H430" s="846"/>
      <c r="I430" s="847"/>
      <c r="J430" s="312"/>
      <c r="L430" s="168"/>
      <c r="M430" s="168"/>
      <c r="R430" s="293"/>
      <c r="S430" s="388"/>
    </row>
    <row r="431" spans="1:19" ht="21" customHeight="1">
      <c r="A431" s="754"/>
      <c r="B431" s="766" t="s">
        <v>462</v>
      </c>
      <c r="C431" s="855"/>
      <c r="D431" s="767"/>
      <c r="E431" s="841"/>
      <c r="F431" s="841"/>
      <c r="G431" s="841"/>
      <c r="H431" s="909"/>
      <c r="I431" s="917"/>
      <c r="J431" s="312"/>
      <c r="L431" s="168"/>
      <c r="M431" s="168"/>
      <c r="R431" s="293"/>
      <c r="S431" s="388"/>
    </row>
    <row r="432" spans="1:19" ht="12.75">
      <c r="A432" s="754"/>
      <c r="B432" s="766"/>
      <c r="C432" s="855"/>
      <c r="D432" s="767"/>
      <c r="E432" s="916">
        <f>IF(AND(F432="",G432="",H432=""),IF(fio="","",0),"")</f>
      </c>
      <c r="F432" s="918"/>
      <c r="G432" s="918"/>
      <c r="H432" s="920"/>
      <c r="I432" s="921"/>
      <c r="J432" s="312"/>
      <c r="K432" s="153">
        <f>MAX(E432:I433)</f>
        <v>0</v>
      </c>
      <c r="L432" s="155">
        <v>300</v>
      </c>
      <c r="M432" s="156"/>
      <c r="R432" s="293"/>
      <c r="S432" s="388"/>
    </row>
    <row r="433" spans="1:19" ht="12" customHeight="1">
      <c r="A433" s="755"/>
      <c r="B433" s="768"/>
      <c r="C433" s="867"/>
      <c r="D433" s="769"/>
      <c r="E433" s="757"/>
      <c r="F433" s="919"/>
      <c r="G433" s="919"/>
      <c r="H433" s="922"/>
      <c r="I433" s="923"/>
      <c r="J433" s="312"/>
      <c r="L433" s="160"/>
      <c r="M433" s="161"/>
      <c r="N433" s="158"/>
      <c r="R433" s="293"/>
      <c r="S433" s="388"/>
    </row>
    <row r="434" spans="1:19" s="146" customFormat="1" ht="15" customHeight="1">
      <c r="A434" s="839" t="s">
        <v>459</v>
      </c>
      <c r="B434" s="774" t="s">
        <v>509</v>
      </c>
      <c r="C434" s="862"/>
      <c r="D434" s="775"/>
      <c r="E434" s="925" t="s">
        <v>172</v>
      </c>
      <c r="F434" s="925" t="s">
        <v>531</v>
      </c>
      <c r="G434" s="925" t="s">
        <v>532</v>
      </c>
      <c r="H434" s="758" t="s">
        <v>517</v>
      </c>
      <c r="I434" s="759"/>
      <c r="J434" s="315"/>
      <c r="K434" s="153"/>
      <c r="L434" s="160"/>
      <c r="M434" s="161"/>
      <c r="N434" s="71"/>
      <c r="R434" s="292"/>
      <c r="S434" s="389"/>
    </row>
    <row r="435" spans="1:19" s="146" customFormat="1" ht="15" customHeight="1">
      <c r="A435" s="840"/>
      <c r="B435" s="776"/>
      <c r="C435" s="924"/>
      <c r="D435" s="777"/>
      <c r="E435" s="926"/>
      <c r="F435" s="926"/>
      <c r="G435" s="926"/>
      <c r="H435" s="760"/>
      <c r="I435" s="761"/>
      <c r="J435" s="315"/>
      <c r="K435" s="153"/>
      <c r="L435" s="160"/>
      <c r="M435" s="161"/>
      <c r="N435" s="71"/>
      <c r="R435" s="292"/>
      <c r="S435" s="389"/>
    </row>
    <row r="436" spans="1:19" s="146" customFormat="1" ht="15" customHeight="1">
      <c r="A436" s="840"/>
      <c r="B436" s="776"/>
      <c r="C436" s="924"/>
      <c r="D436" s="777"/>
      <c r="E436" s="926"/>
      <c r="F436" s="926"/>
      <c r="G436" s="926"/>
      <c r="H436" s="760"/>
      <c r="I436" s="761"/>
      <c r="J436" s="315"/>
      <c r="K436" s="153"/>
      <c r="L436" s="160"/>
      <c r="M436" s="161"/>
      <c r="N436" s="71"/>
      <c r="R436" s="292"/>
      <c r="S436" s="389"/>
    </row>
    <row r="437" spans="1:19" s="146" customFormat="1" ht="15" customHeight="1">
      <c r="A437" s="840"/>
      <c r="B437" s="776"/>
      <c r="C437" s="924"/>
      <c r="D437" s="777"/>
      <c r="E437" s="926"/>
      <c r="F437" s="926"/>
      <c r="G437" s="926"/>
      <c r="H437" s="760"/>
      <c r="I437" s="761"/>
      <c r="J437" s="315"/>
      <c r="K437" s="153"/>
      <c r="L437" s="160"/>
      <c r="M437" s="161"/>
      <c r="N437" s="71"/>
      <c r="R437" s="292"/>
      <c r="S437" s="389"/>
    </row>
    <row r="438" spans="1:19" s="146" customFormat="1" ht="4.5" customHeight="1">
      <c r="A438" s="840"/>
      <c r="B438" s="776"/>
      <c r="C438" s="924"/>
      <c r="D438" s="777"/>
      <c r="E438" s="926"/>
      <c r="F438" s="926"/>
      <c r="G438" s="926"/>
      <c r="H438" s="760"/>
      <c r="I438" s="761"/>
      <c r="J438" s="315"/>
      <c r="K438" s="153"/>
      <c r="L438" s="160"/>
      <c r="M438" s="161"/>
      <c r="N438" s="71"/>
      <c r="R438" s="292"/>
      <c r="S438" s="389"/>
    </row>
    <row r="439" spans="1:19" s="146" customFormat="1" ht="12.75" customHeight="1">
      <c r="A439" s="840"/>
      <c r="B439" s="766" t="s">
        <v>480</v>
      </c>
      <c r="C439" s="855"/>
      <c r="D439" s="767"/>
      <c r="E439" s="926"/>
      <c r="F439" s="926"/>
      <c r="G439" s="926"/>
      <c r="H439" s="760"/>
      <c r="I439" s="761"/>
      <c r="J439" s="315"/>
      <c r="K439" s="153"/>
      <c r="L439" s="160"/>
      <c r="M439" s="161"/>
      <c r="N439" s="71"/>
      <c r="R439" s="292"/>
      <c r="S439" s="389"/>
    </row>
    <row r="440" spans="1:19" s="146" customFormat="1" ht="12.75" customHeight="1">
      <c r="A440" s="840"/>
      <c r="B440" s="864" t="s">
        <v>461</v>
      </c>
      <c r="C440" s="865"/>
      <c r="D440" s="866"/>
      <c r="E440" s="926"/>
      <c r="F440" s="926"/>
      <c r="G440" s="926"/>
      <c r="H440" s="760"/>
      <c r="I440" s="761"/>
      <c r="J440" s="315"/>
      <c r="K440" s="153"/>
      <c r="L440" s="160"/>
      <c r="M440" s="161"/>
      <c r="N440" s="71"/>
      <c r="R440" s="292"/>
      <c r="S440" s="389"/>
    </row>
    <row r="441" spans="1:19" s="146" customFormat="1" ht="2.25" customHeight="1">
      <c r="A441" s="840"/>
      <c r="B441" s="766" t="s">
        <v>510</v>
      </c>
      <c r="C441" s="855"/>
      <c r="D441" s="767"/>
      <c r="E441" s="926"/>
      <c r="F441" s="926"/>
      <c r="G441" s="926"/>
      <c r="H441" s="760"/>
      <c r="I441" s="761"/>
      <c r="J441" s="315"/>
      <c r="K441" s="153"/>
      <c r="L441" s="160"/>
      <c r="M441" s="161"/>
      <c r="N441" s="71"/>
      <c r="R441" s="292"/>
      <c r="S441" s="389"/>
    </row>
    <row r="442" spans="1:19" s="146" customFormat="1" ht="1.5" customHeight="1">
      <c r="A442" s="840"/>
      <c r="B442" s="766"/>
      <c r="C442" s="855"/>
      <c r="D442" s="767"/>
      <c r="E442" s="927"/>
      <c r="F442" s="927"/>
      <c r="G442" s="927"/>
      <c r="H442" s="762"/>
      <c r="I442" s="763"/>
      <c r="J442" s="315"/>
      <c r="K442" s="153"/>
      <c r="L442" s="160"/>
      <c r="M442" s="161"/>
      <c r="N442" s="71"/>
      <c r="R442" s="292"/>
      <c r="S442" s="389"/>
    </row>
    <row r="443" spans="1:19" ht="14.25" customHeight="1">
      <c r="A443" s="840"/>
      <c r="B443" s="766"/>
      <c r="C443" s="855"/>
      <c r="D443" s="767"/>
      <c r="E443" s="756">
        <f>IF(AND(F443="",G443="",H443=""),IF(fio="","",0),"")</f>
      </c>
      <c r="F443" s="932"/>
      <c r="G443" s="932"/>
      <c r="H443" s="830"/>
      <c r="I443" s="868"/>
      <c r="J443" s="316"/>
      <c r="K443" s="153">
        <f>MAX(E443:I444)</f>
        <v>0</v>
      </c>
      <c r="L443" s="160"/>
      <c r="M443" s="161">
        <v>300</v>
      </c>
      <c r="R443" s="293"/>
      <c r="S443" s="388"/>
    </row>
    <row r="444" spans="1:19" ht="12.75" customHeight="1">
      <c r="A444" s="841"/>
      <c r="B444" s="768"/>
      <c r="C444" s="867"/>
      <c r="D444" s="769"/>
      <c r="E444" s="757"/>
      <c r="F444" s="970"/>
      <c r="G444" s="970"/>
      <c r="H444" s="869"/>
      <c r="I444" s="870"/>
      <c r="J444" s="312"/>
      <c r="L444" s="160"/>
      <c r="M444" s="161"/>
      <c r="R444" s="293"/>
      <c r="S444" s="388"/>
    </row>
    <row r="445" spans="1:19" ht="15" customHeight="1">
      <c r="A445" s="839" t="s">
        <v>463</v>
      </c>
      <c r="B445" s="774" t="s">
        <v>464</v>
      </c>
      <c r="C445" s="862"/>
      <c r="D445" s="862"/>
      <c r="E445" s="839" t="s">
        <v>173</v>
      </c>
      <c r="F445" s="839" t="s">
        <v>261</v>
      </c>
      <c r="G445" s="839" t="s">
        <v>466</v>
      </c>
      <c r="H445" s="758" t="s">
        <v>534</v>
      </c>
      <c r="I445" s="759"/>
      <c r="J445" s="312"/>
      <c r="L445" s="160"/>
      <c r="M445" s="161"/>
      <c r="R445" s="293"/>
      <c r="S445" s="388"/>
    </row>
    <row r="446" spans="1:19" ht="9.75" customHeight="1">
      <c r="A446" s="840"/>
      <c r="B446" s="351"/>
      <c r="C446" s="352"/>
      <c r="D446" s="352"/>
      <c r="E446" s="840"/>
      <c r="F446" s="840"/>
      <c r="G446" s="840"/>
      <c r="H446" s="760"/>
      <c r="I446" s="761"/>
      <c r="J446" s="312"/>
      <c r="L446" s="160"/>
      <c r="M446" s="161"/>
      <c r="R446" s="293"/>
      <c r="S446" s="388"/>
    </row>
    <row r="447" spans="1:19" ht="12.75">
      <c r="A447" s="840"/>
      <c r="B447" s="766" t="s">
        <v>480</v>
      </c>
      <c r="C447" s="855"/>
      <c r="D447" s="767"/>
      <c r="E447" s="840"/>
      <c r="F447" s="840"/>
      <c r="G447" s="840"/>
      <c r="H447" s="760"/>
      <c r="I447" s="761"/>
      <c r="J447" s="312"/>
      <c r="L447" s="160"/>
      <c r="M447" s="161"/>
      <c r="R447" s="293"/>
      <c r="S447" s="388"/>
    </row>
    <row r="448" spans="1:19" ht="13.5">
      <c r="A448" s="840"/>
      <c r="B448" s="864" t="s">
        <v>461</v>
      </c>
      <c r="C448" s="865"/>
      <c r="D448" s="866"/>
      <c r="E448" s="841"/>
      <c r="F448" s="841"/>
      <c r="G448" s="841"/>
      <c r="H448" s="762"/>
      <c r="I448" s="763"/>
      <c r="J448" s="312"/>
      <c r="L448" s="160"/>
      <c r="M448" s="161"/>
      <c r="R448" s="293"/>
      <c r="S448" s="388"/>
    </row>
    <row r="449" spans="1:19" ht="15" customHeight="1">
      <c r="A449" s="840"/>
      <c r="B449" s="766" t="s">
        <v>465</v>
      </c>
      <c r="C449" s="855"/>
      <c r="D449" s="767"/>
      <c r="E449" s="756">
        <f>IF(AND(F449="",G449="",H449=""),IF(fio="","",0),"")</f>
      </c>
      <c r="F449" s="932"/>
      <c r="G449" s="932"/>
      <c r="H449" s="830"/>
      <c r="I449" s="868"/>
      <c r="J449" s="312"/>
      <c r="K449" s="153">
        <f>MAX(E449:H450)</f>
        <v>0</v>
      </c>
      <c r="L449" s="160"/>
      <c r="M449" s="161">
        <v>300</v>
      </c>
      <c r="R449" s="293"/>
      <c r="S449" s="388"/>
    </row>
    <row r="450" spans="1:19" ht="12.75" customHeight="1">
      <c r="A450" s="841"/>
      <c r="B450" s="768"/>
      <c r="C450" s="867"/>
      <c r="D450" s="769"/>
      <c r="E450" s="757"/>
      <c r="F450" s="933"/>
      <c r="G450" s="933"/>
      <c r="H450" s="869"/>
      <c r="I450" s="870"/>
      <c r="J450" s="312"/>
      <c r="L450" s="166"/>
      <c r="M450" s="167"/>
      <c r="R450" s="293"/>
      <c r="S450" s="388"/>
    </row>
    <row r="451" spans="1:19" ht="12.75" customHeight="1">
      <c r="A451" s="16"/>
      <c r="B451" s="255"/>
      <c r="C451" s="255"/>
      <c r="D451" s="163"/>
      <c r="E451" s="164"/>
      <c r="F451" s="172"/>
      <c r="G451" s="172"/>
      <c r="H451" s="172"/>
      <c r="I451" s="172"/>
      <c r="J451" s="312"/>
      <c r="L451" s="170" t="s">
        <v>158</v>
      </c>
      <c r="M451" s="171"/>
      <c r="R451" s="293"/>
      <c r="S451" s="388"/>
    </row>
    <row r="452" spans="1:19" s="146" customFormat="1" ht="12.75" customHeight="1">
      <c r="A452" s="571" t="s">
        <v>137</v>
      </c>
      <c r="B452" s="571"/>
      <c r="C452" s="571"/>
      <c r="D452" s="53"/>
      <c r="E452" s="256"/>
      <c r="F452" s="257"/>
      <c r="G452" s="257"/>
      <c r="H452" s="257"/>
      <c r="I452" s="257"/>
      <c r="J452" s="315"/>
      <c r="K452" s="157"/>
      <c r="L452" s="572"/>
      <c r="M452" s="572" t="s">
        <v>159</v>
      </c>
      <c r="N452" s="158"/>
      <c r="R452" s="292"/>
      <c r="S452" s="389"/>
    </row>
    <row r="453" spans="1:24" s="493" customFormat="1" ht="12.75">
      <c r="A453" s="162"/>
      <c r="B453" s="173"/>
      <c r="C453" s="173"/>
      <c r="D453" s="173"/>
      <c r="E453" s="560"/>
      <c r="F453" s="560"/>
      <c r="G453" s="560"/>
      <c r="H453" s="560"/>
      <c r="I453" s="560"/>
      <c r="J453" s="561"/>
      <c r="K453" s="562"/>
      <c r="L453" s="497"/>
      <c r="M453" s="497"/>
      <c r="N453" s="522"/>
      <c r="O453" s="497"/>
      <c r="P453" s="563"/>
      <c r="Q453" s="564"/>
      <c r="R453" s="565"/>
      <c r="S453" s="566"/>
      <c r="T453" s="84"/>
      <c r="U453" s="84"/>
      <c r="V453" s="84"/>
      <c r="W453" s="84"/>
      <c r="X453" s="84"/>
    </row>
    <row r="454" spans="1:19" s="493" customFormat="1" ht="15.75" customHeight="1">
      <c r="A454" s="498"/>
      <c r="B454" s="903" t="s">
        <v>500</v>
      </c>
      <c r="C454" s="934"/>
      <c r="D454" s="934"/>
      <c r="E454" s="902"/>
      <c r="F454" s="903" t="s">
        <v>501</v>
      </c>
      <c r="G454" s="934"/>
      <c r="H454" s="934"/>
      <c r="I454" s="902"/>
      <c r="J454" s="567"/>
      <c r="K454" s="174" t="s">
        <v>60</v>
      </c>
      <c r="L454" s="568"/>
      <c r="M454" s="568"/>
      <c r="N454" s="569"/>
      <c r="R454" s="570"/>
      <c r="S454" s="403"/>
    </row>
    <row r="455" spans="1:19" s="497" customFormat="1" ht="12.75">
      <c r="A455" s="64" t="s">
        <v>111</v>
      </c>
      <c r="B455" s="928" t="s">
        <v>144</v>
      </c>
      <c r="C455" s="929"/>
      <c r="D455" s="929"/>
      <c r="E455" s="930"/>
      <c r="F455" s="871">
        <f>'общие сведения'!N15</f>
        <v>920</v>
      </c>
      <c r="G455" s="872"/>
      <c r="H455" s="872"/>
      <c r="I455" s="873"/>
      <c r="J455" s="555"/>
      <c r="K455" s="174">
        <f>SUM(K112:K453)</f>
        <v>0</v>
      </c>
      <c r="L455" s="568"/>
      <c r="M455" s="568"/>
      <c r="N455" s="526"/>
      <c r="O455" s="255"/>
      <c r="R455" s="498"/>
      <c r="S455" s="391"/>
    </row>
    <row r="456" spans="1:19" s="497" customFormat="1" ht="15.75" customHeight="1">
      <c r="A456" s="64" t="s">
        <v>148</v>
      </c>
      <c r="B456" s="928" t="s">
        <v>145</v>
      </c>
      <c r="C456" s="929"/>
      <c r="D456" s="929"/>
      <c r="E456" s="930"/>
      <c r="F456" s="871">
        <f>'общие сведения'!O15</f>
        <v>1770</v>
      </c>
      <c r="G456" s="872"/>
      <c r="H456" s="872"/>
      <c r="I456" s="873"/>
      <c r="J456" s="555"/>
      <c r="N456" s="519"/>
      <c r="O456" s="255"/>
      <c r="R456" s="498"/>
      <c r="S456" s="391"/>
    </row>
    <row r="457" spans="3:19" s="497" customFormat="1" ht="8.25" customHeight="1">
      <c r="C457" s="81"/>
      <c r="D457" s="81"/>
      <c r="E457" s="81"/>
      <c r="F457" s="81"/>
      <c r="G457" s="255"/>
      <c r="H457" s="16"/>
      <c r="I457" s="81"/>
      <c r="J457" s="555"/>
      <c r="O457" s="255"/>
      <c r="R457" s="498"/>
      <c r="S457" s="391"/>
    </row>
    <row r="458" spans="2:19" s="19" customFormat="1" ht="17.25" customHeight="1">
      <c r="B458" s="938" t="s">
        <v>152</v>
      </c>
      <c r="C458" s="938"/>
      <c r="D458" s="938"/>
      <c r="E458" s="938"/>
      <c r="F458" s="938"/>
      <c r="G458" s="938"/>
      <c r="H458" s="367">
        <f>IF(OR(fio="",K455=0),"",K455)</f>
      </c>
      <c r="I458" s="30" t="s">
        <v>110</v>
      </c>
      <c r="J458" s="322"/>
      <c r="K458" s="23"/>
      <c r="L458" s="23"/>
      <c r="M458" s="23"/>
      <c r="N458" s="29"/>
      <c r="O458" s="28"/>
      <c r="R458" s="298"/>
      <c r="S458" s="388"/>
    </row>
    <row r="459" spans="1:19" s="19" customFormat="1" ht="4.5" customHeight="1">
      <c r="A459" s="39"/>
      <c r="B459" s="366"/>
      <c r="J459" s="322"/>
      <c r="K459" s="23"/>
      <c r="L459" s="23"/>
      <c r="M459" s="23"/>
      <c r="N459" s="29"/>
      <c r="O459" s="28"/>
      <c r="R459" s="298"/>
      <c r="S459" s="388"/>
    </row>
    <row r="460" spans="1:19" s="23" customFormat="1" ht="15.75" customHeight="1">
      <c r="A460" s="260" t="s">
        <v>502</v>
      </c>
      <c r="B460" s="366"/>
      <c r="C460" s="56"/>
      <c r="D460" s="261">
        <f>IF(OR(_vsego="",C45="",fio=""),"",IF(M32&lt;40,IF(K33=1,K32,"уточните должность"),""))</f>
      </c>
      <c r="F460" s="556"/>
      <c r="H460" s="261">
        <f>IF(OR(_vsego="",fio=""),"",IF(E50="первая",IF(_vsego&gt;=_порог_п,"    соответствует"," не соответствует"),IF(_vsego&gt;=_порог_в,"    соответствует"," не соответствует")))</f>
      </c>
      <c r="I460" s="58"/>
      <c r="J460" s="557"/>
      <c r="N460" s="558"/>
      <c r="O460" s="559"/>
      <c r="R460" s="21"/>
      <c r="S460" s="394"/>
    </row>
    <row r="461" spans="1:19" s="23" customFormat="1" ht="15">
      <c r="A461" s="39" t="s">
        <v>503</v>
      </c>
      <c r="B461" s="366"/>
      <c r="C461" s="31"/>
      <c r="D461" s="31"/>
      <c r="F461" s="59">
        <f>IF(OR(H458="",fio="",E50=""),"",IF(E50="первая",A455,A456))</f>
      </c>
      <c r="G461" s="31" t="s">
        <v>504</v>
      </c>
      <c r="I461" s="56"/>
      <c r="J461" s="557"/>
      <c r="N461" s="558"/>
      <c r="O461" s="559"/>
      <c r="R461" s="21"/>
      <c r="S461" s="394"/>
    </row>
    <row r="462" spans="1:19" s="19" customFormat="1" ht="15.75" hidden="1">
      <c r="A462" s="39"/>
      <c r="B462" s="83"/>
      <c r="C462" s="85"/>
      <c r="D462" s="85"/>
      <c r="E462" s="59"/>
      <c r="F462" s="31"/>
      <c r="G462" s="31"/>
      <c r="H462" s="162"/>
      <c r="I462" s="56"/>
      <c r="J462" s="312"/>
      <c r="K462" s="147"/>
      <c r="N462" s="71"/>
      <c r="O462" s="29"/>
      <c r="P462" s="29"/>
      <c r="Q462" s="29"/>
      <c r="R462" s="29"/>
      <c r="S462" s="388"/>
    </row>
    <row r="463" spans="1:19" s="493" customFormat="1" ht="12.75" hidden="1">
      <c r="A463" s="510"/>
      <c r="B463" s="85"/>
      <c r="J463" s="511"/>
      <c r="N463" s="85"/>
      <c r="O463" s="84"/>
      <c r="P463" s="84"/>
      <c r="R463" s="512"/>
      <c r="S463" s="403"/>
    </row>
    <row r="464" spans="1:19" s="493" customFormat="1" ht="15" customHeight="1" hidden="1">
      <c r="A464" s="931" t="s">
        <v>263</v>
      </c>
      <c r="B464" s="931"/>
      <c r="C464" s="931"/>
      <c r="D464" s="75"/>
      <c r="E464" s="75"/>
      <c r="F464" s="75"/>
      <c r="G464" s="75"/>
      <c r="H464" s="75"/>
      <c r="I464" s="75"/>
      <c r="J464" s="513"/>
      <c r="K464" s="514"/>
      <c r="L464" s="514"/>
      <c r="M464" s="514"/>
      <c r="N464" s="514"/>
      <c r="O464" s="85"/>
      <c r="P464" s="85"/>
      <c r="Q464" s="85"/>
      <c r="R464" s="515"/>
      <c r="S464" s="403"/>
    </row>
    <row r="465" spans="1:19" s="497" customFormat="1" ht="12.75" hidden="1">
      <c r="A465" s="931"/>
      <c r="B465" s="931"/>
      <c r="C465" s="931"/>
      <c r="D465" s="86"/>
      <c r="E465" s="86"/>
      <c r="F465" s="499">
        <f>IF(fio&lt;&gt;"",IF('общие сведения'!K89&lt;&gt;"",'общие сведения'!K89,""),"")</f>
      </c>
      <c r="G465" s="494"/>
      <c r="H465" s="494"/>
      <c r="I465" s="494"/>
      <c r="J465" s="516"/>
      <c r="K465" s="514"/>
      <c r="L465" s="514"/>
      <c r="M465" s="514"/>
      <c r="N465" s="86"/>
      <c r="O465" s="336"/>
      <c r="P465" s="517"/>
      <c r="Q465" s="336"/>
      <c r="R465" s="299"/>
      <c r="S465" s="391"/>
    </row>
    <row r="466" spans="1:19" s="497" customFormat="1" ht="9.75" customHeight="1" hidden="1">
      <c r="A466" s="931" t="s">
        <v>580</v>
      </c>
      <c r="B466" s="931"/>
      <c r="C466" s="931"/>
      <c r="D466" s="86"/>
      <c r="E466" s="86"/>
      <c r="F466" s="874" t="s">
        <v>147</v>
      </c>
      <c r="G466" s="874"/>
      <c r="H466" s="874"/>
      <c r="I466" s="874"/>
      <c r="J466" s="518"/>
      <c r="K466" s="519"/>
      <c r="L466" s="519"/>
      <c r="M466" s="519"/>
      <c r="N466" s="62"/>
      <c r="O466" s="86"/>
      <c r="P466" s="86"/>
      <c r="Q466" s="86"/>
      <c r="R466" s="520"/>
      <c r="S466" s="391"/>
    </row>
    <row r="467" spans="1:19" s="497" customFormat="1" ht="15.75" customHeight="1" hidden="1">
      <c r="A467" s="931"/>
      <c r="B467" s="931"/>
      <c r="C467" s="931"/>
      <c r="D467" s="86"/>
      <c r="E467" s="86"/>
      <c r="F467" s="499">
        <f>IF(fio&lt;&gt;"",IF('общие сведения'!K91&lt;&gt;"",'общие сведения'!K91,""),"")</f>
      </c>
      <c r="G467" s="483"/>
      <c r="H467" s="483"/>
      <c r="I467" s="483"/>
      <c r="J467" s="518"/>
      <c r="K467" s="85"/>
      <c r="L467" s="85"/>
      <c r="M467" s="85"/>
      <c r="N467" s="86"/>
      <c r="O467" s="62"/>
      <c r="P467" s="62"/>
      <c r="Q467" s="62"/>
      <c r="R467" s="300"/>
      <c r="S467" s="391"/>
    </row>
    <row r="468" spans="1:19" s="497" customFormat="1" ht="9.75" customHeight="1" hidden="1">
      <c r="A468" s="498"/>
      <c r="B468" s="521"/>
      <c r="C468" s="75"/>
      <c r="D468" s="86"/>
      <c r="E468" s="86"/>
      <c r="F468" s="874" t="s">
        <v>147</v>
      </c>
      <c r="G468" s="874"/>
      <c r="H468" s="874"/>
      <c r="I468" s="874"/>
      <c r="J468" s="518"/>
      <c r="K468" s="519"/>
      <c r="L468" s="85"/>
      <c r="M468" s="85"/>
      <c r="N468" s="62"/>
      <c r="O468" s="86"/>
      <c r="P468" s="86"/>
      <c r="Q468" s="86"/>
      <c r="R468" s="520"/>
      <c r="S468" s="391"/>
    </row>
    <row r="469" spans="1:19" s="497" customFormat="1" ht="15.75" hidden="1">
      <c r="A469" s="498"/>
      <c r="B469" s="83"/>
      <c r="C469" s="75"/>
      <c r="D469" s="86"/>
      <c r="E469" s="86"/>
      <c r="F469" s="499">
        <f>IF(fio&lt;&gt;"",IF('общие сведения'!K93&lt;&gt;"",'общие сведения'!K93,""),"")</f>
      </c>
      <c r="G469" s="505"/>
      <c r="H469" s="483"/>
      <c r="I469" s="483"/>
      <c r="J469" s="518"/>
      <c r="K469" s="522"/>
      <c r="L469" s="522"/>
      <c r="M469" s="522"/>
      <c r="N469" s="86"/>
      <c r="O469" s="62"/>
      <c r="P469" s="62"/>
      <c r="Q469" s="62"/>
      <c r="R469" s="300"/>
      <c r="S469" s="391"/>
    </row>
    <row r="470" spans="2:19" s="497" customFormat="1" ht="11.25" customHeight="1" hidden="1">
      <c r="B470" s="83"/>
      <c r="C470" s="75"/>
      <c r="D470" s="86"/>
      <c r="E470" s="86"/>
      <c r="F470" s="874" t="s">
        <v>147</v>
      </c>
      <c r="G470" s="874"/>
      <c r="H470" s="874"/>
      <c r="I470" s="874"/>
      <c r="J470" s="518"/>
      <c r="K470" s="522"/>
      <c r="L470" s="519"/>
      <c r="M470" s="86"/>
      <c r="N470" s="62"/>
      <c r="O470" s="86"/>
      <c r="P470" s="86"/>
      <c r="Q470" s="86"/>
      <c r="R470" s="520"/>
      <c r="S470" s="391"/>
    </row>
    <row r="471" spans="1:19" s="497" customFormat="1" ht="15.75" hidden="1">
      <c r="A471" s="955" t="s">
        <v>53</v>
      </c>
      <c r="B471" s="955"/>
      <c r="C471" s="955"/>
      <c r="D471" s="955"/>
      <c r="E471" s="955"/>
      <c r="F471" s="955"/>
      <c r="G471" s="1032" t="str">
        <f>IF(_vsego&lt;&gt;""," «  "&amp;'общие сведения'!C98&amp;"  »  "&amp;'общие сведения'!E98&amp;"  20"&amp;'общие сведения'!H98&amp;" г.","« __ » ___________  20__ г.")</f>
        <v>« __ » ___________  20__ г.</v>
      </c>
      <c r="H471" s="1032"/>
      <c r="I471" s="336"/>
      <c r="J471" s="518"/>
      <c r="K471" s="519"/>
      <c r="L471" s="519"/>
      <c r="M471" s="62"/>
      <c r="N471" s="62"/>
      <c r="O471" s="86"/>
      <c r="P471" s="86"/>
      <c r="Q471" s="86"/>
      <c r="R471" s="520"/>
      <c r="S471" s="391"/>
    </row>
    <row r="472" spans="1:19" s="497" customFormat="1" ht="15.75" hidden="1">
      <c r="A472" s="498"/>
      <c r="B472" s="83"/>
      <c r="C472" s="87"/>
      <c r="D472" s="75"/>
      <c r="E472" s="75"/>
      <c r="F472" s="75"/>
      <c r="G472" s="75"/>
      <c r="H472" s="523"/>
      <c r="I472" s="75"/>
      <c r="J472" s="518"/>
      <c r="K472" s="522"/>
      <c r="L472" s="86">
        <f>IF(ЭЗ!E718&lt;&gt;"",ЭЗ!E718,"")</f>
      </c>
      <c r="M472" s="86"/>
      <c r="N472" s="524"/>
      <c r="O472" s="62"/>
      <c r="P472" s="62"/>
      <c r="Q472" s="62"/>
      <c r="R472" s="300"/>
      <c r="S472" s="391"/>
    </row>
    <row r="473" spans="2:19" s="497" customFormat="1" ht="15.75" customHeight="1" hidden="1">
      <c r="B473" s="854"/>
      <c r="C473" s="854"/>
      <c r="D473" s="854"/>
      <c r="E473" s="854"/>
      <c r="F473" s="854"/>
      <c r="G473" s="854"/>
      <c r="H473" s="854"/>
      <c r="I473" s="854"/>
      <c r="J473" s="525"/>
      <c r="K473" s="526"/>
      <c r="L473" s="526"/>
      <c r="M473" s="62"/>
      <c r="N473" s="524"/>
      <c r="O473" s="527"/>
      <c r="P473" s="528"/>
      <c r="Q473" s="60"/>
      <c r="R473" s="299"/>
      <c r="S473" s="391"/>
    </row>
    <row r="474" spans="1:19" s="493" customFormat="1" ht="15" hidden="1">
      <c r="A474" s="498"/>
      <c r="B474" s="937" t="s">
        <v>230</v>
      </c>
      <c r="C474" s="937"/>
      <c r="D474" s="937"/>
      <c r="E474" s="937"/>
      <c r="F474" s="937"/>
      <c r="G474" s="937"/>
      <c r="H474" s="937"/>
      <c r="I474" s="937"/>
      <c r="J474" s="530"/>
      <c r="K474" s="531"/>
      <c r="L474" s="86">
        <f>IF(ЭЗ!E719&lt;&gt;"",ЭЗ!E719,"")</f>
      </c>
      <c r="M474" s="86"/>
      <c r="N474" s="524"/>
      <c r="O474" s="532"/>
      <c r="P474" s="509"/>
      <c r="Q474" s="533"/>
      <c r="R474" s="293"/>
      <c r="S474" s="403"/>
    </row>
    <row r="475" spans="1:19" s="493" customFormat="1" ht="1.5" customHeight="1" hidden="1">
      <c r="A475" s="534" t="s">
        <v>157</v>
      </c>
      <c r="B475" s="529"/>
      <c r="C475" s="529"/>
      <c r="D475" s="529"/>
      <c r="E475" s="529"/>
      <c r="F475" s="529"/>
      <c r="G475" s="529"/>
      <c r="H475" s="529"/>
      <c r="I475" s="529"/>
      <c r="J475" s="530"/>
      <c r="K475" s="531"/>
      <c r="L475" s="86"/>
      <c r="M475" s="86"/>
      <c r="N475" s="522"/>
      <c r="O475" s="532"/>
      <c r="P475" s="509"/>
      <c r="Q475" s="533"/>
      <c r="R475" s="293"/>
      <c r="S475" s="403"/>
    </row>
    <row r="476" spans="1:19" s="497" customFormat="1" ht="15.75" hidden="1">
      <c r="A476" s="535" t="s">
        <v>262</v>
      </c>
      <c r="B476" s="493"/>
      <c r="C476" s="88"/>
      <c r="E476" s="536"/>
      <c r="F476" s="499">
        <f>IF('общие сведения'!K19&lt;&gt;"",'общие сведения'!K19,"")</f>
      </c>
      <c r="G476" s="493"/>
      <c r="H476" s="493"/>
      <c r="I476" s="493"/>
      <c r="J476" s="516"/>
      <c r="K476" s="526"/>
      <c r="L476" s="526"/>
      <c r="M476" s="62"/>
      <c r="N476" s="537"/>
      <c r="O476" s="336"/>
      <c r="P476" s="517"/>
      <c r="Q476" s="336"/>
      <c r="R476" s="299"/>
      <c r="S476" s="391"/>
    </row>
    <row r="477" spans="1:19" s="493" customFormat="1" ht="15.75" hidden="1">
      <c r="A477" s="497"/>
      <c r="B477" s="336"/>
      <c r="C477" s="75"/>
      <c r="D477" s="874" t="s">
        <v>146</v>
      </c>
      <c r="E477" s="874"/>
      <c r="F477" s="874" t="s">
        <v>147</v>
      </c>
      <c r="G477" s="874"/>
      <c r="H477" s="874"/>
      <c r="I477" s="874"/>
      <c r="J477" s="538"/>
      <c r="K477" s="519"/>
      <c r="L477" s="519"/>
      <c r="M477" s="524"/>
      <c r="N477" s="539"/>
      <c r="O477" s="539"/>
      <c r="P477" s="539"/>
      <c r="Q477" s="539"/>
      <c r="R477" s="539"/>
      <c r="S477" s="403"/>
    </row>
    <row r="478" spans="1:19" s="23" customFormat="1" ht="15">
      <c r="A478" s="176" t="s">
        <v>157</v>
      </c>
      <c r="C478" s="540"/>
      <c r="D478" s="540"/>
      <c r="E478" s="540"/>
      <c r="F478" s="540"/>
      <c r="G478" s="540"/>
      <c r="H478" s="540"/>
      <c r="I478" s="540"/>
      <c r="J478" s="541"/>
      <c r="K478" s="542"/>
      <c r="L478" s="543"/>
      <c r="M478" s="544"/>
      <c r="N478" s="175"/>
      <c r="O478" s="508"/>
      <c r="P478" s="508"/>
      <c r="Q478" s="508"/>
      <c r="R478" s="545"/>
      <c r="S478" s="394"/>
    </row>
    <row r="479" spans="1:19" s="497" customFormat="1" ht="13.5" customHeight="1">
      <c r="A479" s="863">
        <f>IF(_vsego&lt;&gt;"",'общие сведения'!L169,"")</f>
      </c>
      <c r="B479" s="863"/>
      <c r="C479" s="863"/>
      <c r="D479" s="863"/>
      <c r="E479" s="863"/>
      <c r="F479" s="863"/>
      <c r="G479" s="863"/>
      <c r="H479" s="863"/>
      <c r="I479" s="863"/>
      <c r="J479" s="323"/>
      <c r="K479" s="522"/>
      <c r="L479" s="522"/>
      <c r="M479" s="522"/>
      <c r="N479" s="546"/>
      <c r="O479" s="62"/>
      <c r="P479" s="62"/>
      <c r="Q479" s="62"/>
      <c r="R479" s="300"/>
      <c r="S479" s="391"/>
    </row>
    <row r="480" spans="1:19" s="551" customFormat="1" ht="15.75">
      <c r="A480" s="863"/>
      <c r="B480" s="863"/>
      <c r="C480" s="863"/>
      <c r="D480" s="863"/>
      <c r="E480" s="863"/>
      <c r="F480" s="863"/>
      <c r="G480" s="863"/>
      <c r="H480" s="863"/>
      <c r="I480" s="863"/>
      <c r="J480" s="323"/>
      <c r="K480" s="547"/>
      <c r="L480" s="522"/>
      <c r="M480" s="537"/>
      <c r="N480" s="546"/>
      <c r="O480" s="548"/>
      <c r="P480" s="548"/>
      <c r="Q480" s="548"/>
      <c r="R480" s="549"/>
      <c r="S480" s="550"/>
    </row>
    <row r="481" spans="1:19" s="551" customFormat="1" ht="16.5" customHeight="1" hidden="1">
      <c r="A481" s="863"/>
      <c r="B481" s="863"/>
      <c r="C481" s="863"/>
      <c r="D481" s="863"/>
      <c r="E481" s="863"/>
      <c r="F481" s="863"/>
      <c r="G481" s="863"/>
      <c r="H481" s="863"/>
      <c r="I481" s="863"/>
      <c r="J481" s="323"/>
      <c r="K481" s="547"/>
      <c r="L481" s="522"/>
      <c r="M481" s="537"/>
      <c r="N481" s="546"/>
      <c r="O481" s="548"/>
      <c r="P481" s="548"/>
      <c r="Q481" s="548"/>
      <c r="R481" s="549"/>
      <c r="S481" s="550"/>
    </row>
    <row r="482" spans="1:19" s="551" customFormat="1" ht="15.75" hidden="1">
      <c r="A482" s="863"/>
      <c r="B482" s="863"/>
      <c r="C482" s="863"/>
      <c r="D482" s="863"/>
      <c r="E482" s="863"/>
      <c r="F482" s="863"/>
      <c r="G482" s="863"/>
      <c r="H482" s="863"/>
      <c r="I482" s="863"/>
      <c r="J482" s="323"/>
      <c r="K482" s="547"/>
      <c r="L482" s="522"/>
      <c r="M482" s="537"/>
      <c r="N482" s="546"/>
      <c r="O482" s="548"/>
      <c r="P482" s="552"/>
      <c r="Q482" s="548"/>
      <c r="R482" s="549"/>
      <c r="S482" s="550"/>
    </row>
    <row r="483" spans="1:19" s="551" customFormat="1" ht="15.75">
      <c r="A483" s="863"/>
      <c r="B483" s="863"/>
      <c r="C483" s="863"/>
      <c r="D483" s="863"/>
      <c r="E483" s="863"/>
      <c r="F483" s="863"/>
      <c r="G483" s="863"/>
      <c r="H483" s="863"/>
      <c r="I483" s="863"/>
      <c r="J483" s="323"/>
      <c r="K483" s="62"/>
      <c r="L483" s="519"/>
      <c r="M483" s="519"/>
      <c r="N483" s="553"/>
      <c r="O483" s="548"/>
      <c r="P483" s="552"/>
      <c r="Q483" s="548"/>
      <c r="R483" s="549"/>
      <c r="S483" s="550"/>
    </row>
    <row r="484" spans="1:19" s="19" customFormat="1" ht="15.75" customHeight="1">
      <c r="A484" s="119"/>
      <c r="B484" s="89"/>
      <c r="C484" s="89"/>
      <c r="D484" s="90"/>
      <c r="E484" s="22"/>
      <c r="F484" s="22"/>
      <c r="G484" s="22"/>
      <c r="H484" s="22"/>
      <c r="I484" s="22"/>
      <c r="J484" s="63"/>
      <c r="K484" s="65"/>
      <c r="L484" s="65"/>
      <c r="M484" s="65"/>
      <c r="N484" s="100"/>
      <c r="O484" s="63"/>
      <c r="P484" s="63"/>
      <c r="Q484" s="63"/>
      <c r="R484" s="301"/>
      <c r="S484" s="3"/>
    </row>
    <row r="485" spans="1:19" s="19" customFormat="1" ht="18.75">
      <c r="A485" s="119"/>
      <c r="B485" s="977" t="str">
        <f>IF(A498&gt;=12,"Экспертное заключение ГОТОВО к печати","ЭЗ не готово к печати")</f>
        <v>ЭЗ не готово к печати</v>
      </c>
      <c r="C485" s="977"/>
      <c r="D485" s="977"/>
      <c r="E485" s="977"/>
      <c r="F485" s="977"/>
      <c r="G485" s="977"/>
      <c r="H485" s="977"/>
      <c r="I485" s="977"/>
      <c r="K485" s="65"/>
      <c r="L485" s="65"/>
      <c r="M485" s="65"/>
      <c r="N485" s="100"/>
      <c r="P485" s="3"/>
      <c r="Q485" s="3"/>
      <c r="R485" s="299"/>
      <c r="S485" s="3"/>
    </row>
    <row r="486" spans="1:19" s="19" customFormat="1" ht="15">
      <c r="A486" s="119">
        <f>IF(F486=" + ",1,0)</f>
        <v>0</v>
      </c>
      <c r="B486" s="978" t="s">
        <v>113</v>
      </c>
      <c r="C486" s="978"/>
      <c r="D486" s="978"/>
      <c r="E486" s="130"/>
      <c r="F486" s="130" t="str">
        <f>IF(fio&lt;&gt;""," + ","не заполнено")</f>
        <v>не заполнено</v>
      </c>
      <c r="G486" s="131"/>
      <c r="H486" s="130"/>
      <c r="I486" s="130"/>
      <c r="K486" s="65"/>
      <c r="L486" s="65"/>
      <c r="M486" s="65"/>
      <c r="N486" s="71"/>
      <c r="P486" s="3"/>
      <c r="Q486" s="3"/>
      <c r="R486" s="299"/>
      <c r="S486" s="3"/>
    </row>
    <row r="487" spans="1:13" ht="15">
      <c r="A487" s="119">
        <f aca="true" t="shared" si="1" ref="A487:A497">IF(F487=" + ",1,0)</f>
        <v>0</v>
      </c>
      <c r="B487" s="976" t="s">
        <v>149</v>
      </c>
      <c r="C487" s="976"/>
      <c r="D487" s="976"/>
      <c r="E487" s="133"/>
      <c r="F487" s="134" t="str">
        <f>IF(C42&lt;&gt;""," + ","не заполнено")</f>
        <v>не заполнено</v>
      </c>
      <c r="G487" s="135"/>
      <c r="H487" s="133"/>
      <c r="I487" s="133"/>
      <c r="K487" s="65"/>
      <c r="L487" s="65"/>
      <c r="M487" s="65"/>
    </row>
    <row r="488" spans="1:13" ht="15.75">
      <c r="A488" s="119">
        <f t="shared" si="1"/>
        <v>0</v>
      </c>
      <c r="B488" s="976" t="s">
        <v>150</v>
      </c>
      <c r="C488" s="976"/>
      <c r="D488" s="976"/>
      <c r="E488" s="133"/>
      <c r="F488" s="134" t="str">
        <f>IF(C45&lt;&gt;""," + ","не заполнено")</f>
        <v>не заполнено</v>
      </c>
      <c r="G488" s="135"/>
      <c r="H488" s="133"/>
      <c r="I488" s="133"/>
      <c r="K488" s="63"/>
      <c r="L488" s="63"/>
      <c r="M488" s="63"/>
    </row>
    <row r="489" spans="1:13" ht="15">
      <c r="A489" s="119">
        <f t="shared" si="1"/>
        <v>0</v>
      </c>
      <c r="B489" s="976" t="s">
        <v>114</v>
      </c>
      <c r="C489" s="976"/>
      <c r="D489" s="976"/>
      <c r="E489" s="134"/>
      <c r="F489" s="134" t="str">
        <f>IF(G47&gt;""," + ","не заполнено")</f>
        <v>не заполнено</v>
      </c>
      <c r="G489" s="135"/>
      <c r="H489" s="134"/>
      <c r="I489" s="134"/>
      <c r="K489" s="147"/>
      <c r="L489" s="147"/>
      <c r="M489" s="147"/>
    </row>
    <row r="490" spans="1:13" ht="15">
      <c r="A490" s="119">
        <f t="shared" si="1"/>
        <v>0</v>
      </c>
      <c r="B490" s="976" t="s">
        <v>160</v>
      </c>
      <c r="C490" s="976"/>
      <c r="D490" s="976"/>
      <c r="E490" s="134"/>
      <c r="F490" s="134" t="str">
        <f>IF(D48&lt;&gt;""," + ","не заполнено")</f>
        <v>не заполнено</v>
      </c>
      <c r="G490" s="135"/>
      <c r="H490" s="134"/>
      <c r="I490" s="134"/>
      <c r="K490" s="147"/>
      <c r="L490" s="147"/>
      <c r="M490" s="147"/>
    </row>
    <row r="491" spans="1:9" ht="15">
      <c r="A491" s="119">
        <f t="shared" si="1"/>
        <v>0</v>
      </c>
      <c r="B491" s="976" t="s">
        <v>161</v>
      </c>
      <c r="C491" s="976"/>
      <c r="D491" s="976"/>
      <c r="E491" s="136"/>
      <c r="F491" s="134" t="str">
        <f>IF(E49&lt;&gt;""," + ","не заполнено")</f>
        <v>не заполнено</v>
      </c>
      <c r="G491" s="137"/>
      <c r="H491" s="134"/>
      <c r="I491" s="134"/>
    </row>
    <row r="492" spans="1:9" ht="15">
      <c r="A492" s="119">
        <f t="shared" si="1"/>
        <v>0</v>
      </c>
      <c r="B492" s="976" t="s">
        <v>162</v>
      </c>
      <c r="C492" s="976"/>
      <c r="D492" s="976"/>
      <c r="E492" s="138"/>
      <c r="F492" s="134" t="str">
        <f>IF(I49&lt;&gt;""," + ",IF(E49="нет"," + ","не заполнено"))</f>
        <v>не заполнено</v>
      </c>
      <c r="G492" s="137"/>
      <c r="H492" s="138"/>
      <c r="I492" s="139"/>
    </row>
    <row r="493" spans="1:9" ht="15">
      <c r="A493" s="119">
        <f>IF(F493="не заполнено",0,1)</f>
        <v>0</v>
      </c>
      <c r="B493" s="976" t="s">
        <v>115</v>
      </c>
      <c r="C493" s="976"/>
      <c r="D493" s="976"/>
      <c r="E493" s="138"/>
      <c r="F493" s="134" t="str">
        <f>IF(E50&lt;&gt;"",IF(E50="первая"," + ",IF(AND(E50="высшая",OR(E49="первая",E49="высшая"))," + ","Внимание! Нет в наличии первой категории")),"не заполнено")</f>
        <v>не заполнено</v>
      </c>
      <c r="G493" s="137"/>
      <c r="H493" s="140"/>
      <c r="I493" s="140"/>
    </row>
    <row r="494" spans="1:9" ht="15">
      <c r="A494" s="119">
        <f t="shared" si="1"/>
        <v>0</v>
      </c>
      <c r="B494" s="976" t="s">
        <v>217</v>
      </c>
      <c r="C494" s="976"/>
      <c r="D494" s="976"/>
      <c r="E494" s="137"/>
      <c r="F494" s="134" t="str">
        <f>IF(F465&lt;&gt;""," + ","не заполнено")</f>
        <v>не заполнено</v>
      </c>
      <c r="G494" s="137"/>
      <c r="H494" s="137"/>
      <c r="I494" s="137"/>
    </row>
    <row r="495" spans="1:9" ht="15">
      <c r="A495" s="119">
        <f t="shared" si="1"/>
        <v>0</v>
      </c>
      <c r="B495" s="976" t="s">
        <v>151</v>
      </c>
      <c r="C495" s="976"/>
      <c r="D495" s="976"/>
      <c r="E495" s="132" t="s">
        <v>218</v>
      </c>
      <c r="F495" s="134" t="str">
        <f>IF(F467&lt;&gt;""," + ","не заполнено")</f>
        <v>не заполнено</v>
      </c>
      <c r="G495" s="137"/>
      <c r="H495" s="137"/>
      <c r="I495" s="137"/>
    </row>
    <row r="496" spans="1:9" ht="15">
      <c r="A496" s="119">
        <f t="shared" si="1"/>
        <v>0</v>
      </c>
      <c r="B496" s="141"/>
      <c r="C496" s="142"/>
      <c r="D496" s="142"/>
      <c r="E496" s="132" t="s">
        <v>219</v>
      </c>
      <c r="F496" s="134" t="str">
        <f>IF(AND('общие сведения'!$F$87&gt;1,F469=""),"не заполнено",IF(AND('общие сведения'!$F$87&lt;2,F469&lt;&gt;""),"кол-во экспертов не предусматривает наличие второго"," + "))</f>
        <v>не заполнено</v>
      </c>
      <c r="G496" s="137"/>
      <c r="H496" s="137"/>
      <c r="I496" s="137"/>
    </row>
    <row r="497" spans="1:9" ht="15">
      <c r="A497" s="119">
        <f t="shared" si="1"/>
        <v>0</v>
      </c>
      <c r="B497" s="980" t="s">
        <v>221</v>
      </c>
      <c r="C497" s="980"/>
      <c r="D497" s="980"/>
      <c r="E497" s="980"/>
      <c r="F497" s="134" t="str">
        <f>IF(_vsego&lt;&gt;""," + ","не заполнено - подсчет автоматический")</f>
        <v>не заполнено - подсчет автоматический</v>
      </c>
      <c r="G497" s="137"/>
      <c r="H497" s="137"/>
      <c r="I497" s="137"/>
    </row>
    <row r="498" spans="1:9" ht="16.5" customHeight="1">
      <c r="A498" s="119">
        <f>SUM(A486:A497)</f>
        <v>0</v>
      </c>
      <c r="B498" s="143"/>
      <c r="C498" s="144"/>
      <c r="D498" s="144"/>
      <c r="E498" s="145"/>
      <c r="F498" s="145"/>
      <c r="G498" s="145"/>
      <c r="H498" s="145"/>
      <c r="I498" s="145"/>
    </row>
    <row r="499" spans="1:9" ht="3.75" customHeight="1" thickBot="1">
      <c r="A499" s="128"/>
      <c r="B499" s="121"/>
      <c r="C499" s="122"/>
      <c r="D499" s="122"/>
      <c r="E499" s="123"/>
      <c r="F499" s="123"/>
      <c r="G499" s="123"/>
      <c r="H499" s="123"/>
      <c r="I499" s="123"/>
    </row>
    <row r="500" spans="2:9" ht="16.5" thickBot="1">
      <c r="B500" s="981" t="s">
        <v>224</v>
      </c>
      <c r="C500" s="982"/>
      <c r="D500" s="982"/>
      <c r="E500" s="982"/>
      <c r="F500" s="982"/>
      <c r="G500" s="982"/>
      <c r="H500" s="982"/>
      <c r="I500" s="983"/>
    </row>
    <row r="501" spans="2:9" ht="2.25" customHeight="1" thickBot="1">
      <c r="B501" s="74"/>
      <c r="C501" s="74"/>
      <c r="D501" s="75"/>
      <c r="E501" s="75"/>
      <c r="F501" s="75"/>
      <c r="G501" s="75"/>
      <c r="H501" s="75"/>
      <c r="I501" s="75"/>
    </row>
    <row r="502" spans="2:9" ht="16.5" thickBot="1">
      <c r="B502" s="981" t="s">
        <v>225</v>
      </c>
      <c r="C502" s="982"/>
      <c r="D502" s="982"/>
      <c r="E502" s="982"/>
      <c r="F502" s="982"/>
      <c r="G502" s="982"/>
      <c r="H502" s="982"/>
      <c r="I502" s="983"/>
    </row>
    <row r="503" spans="2:9" ht="15">
      <c r="B503" s="74"/>
      <c r="C503" s="74"/>
      <c r="D503" s="75"/>
      <c r="E503" s="75"/>
      <c r="F503" s="75"/>
      <c r="G503" s="75"/>
      <c r="H503" s="75"/>
      <c r="I503" s="75"/>
    </row>
    <row r="504" spans="2:9" ht="15">
      <c r="B504" s="984">
        <f>IF($B$485="Экспертное заключение ГОТОВО к печати"," Печать ЭЗ: меню Файл-Печать   или    комбинация клавиш  CTRL+P. ","")</f>
      </c>
      <c r="C504" s="984"/>
      <c r="D504" s="984"/>
      <c r="E504" s="984"/>
      <c r="F504" s="984"/>
      <c r="G504" s="984"/>
      <c r="H504" s="984"/>
      <c r="I504" s="984"/>
    </row>
    <row r="505" spans="2:9" ht="15">
      <c r="B505" s="76"/>
      <c r="C505" s="979">
        <f>IF($B$479="Экспертное заключение ГОТОВО к печати"," Рекомендуется перед печатью выполнить Предварительный просмотр   (меню Файл)","")</f>
      </c>
      <c r="D505" s="979"/>
      <c r="E505" s="979"/>
      <c r="F505" s="979"/>
      <c r="G505" s="979"/>
      <c r="H505" s="979"/>
      <c r="I505" s="979"/>
    </row>
    <row r="506" spans="2:9" ht="15">
      <c r="B506" s="129"/>
      <c r="C506" s="979"/>
      <c r="D506" s="979"/>
      <c r="E506" s="979"/>
      <c r="F506" s="979"/>
      <c r="G506" s="979"/>
      <c r="H506" s="979"/>
      <c r="I506" s="979"/>
    </row>
  </sheetData>
  <sheetProtection password="CF28" sheet="1" objects="1" scenarios="1"/>
  <mergeCells count="603">
    <mergeCell ref="H208:I209"/>
    <mergeCell ref="B206:D207"/>
    <mergeCell ref="B208:D208"/>
    <mergeCell ref="B209:D209"/>
    <mergeCell ref="B210:D211"/>
    <mergeCell ref="E208:E209"/>
    <mergeCell ref="F206:G207"/>
    <mergeCell ref="E210:E211"/>
    <mergeCell ref="F210:G211"/>
    <mergeCell ref="B127:D128"/>
    <mergeCell ref="B129:D129"/>
    <mergeCell ref="B130:D131"/>
    <mergeCell ref="B196:D198"/>
    <mergeCell ref="B199:D199"/>
    <mergeCell ref="B200:D201"/>
    <mergeCell ref="A69:I69"/>
    <mergeCell ref="A77:C77"/>
    <mergeCell ref="H73:I73"/>
    <mergeCell ref="A73:G73"/>
    <mergeCell ref="B120:D122"/>
    <mergeCell ref="B123:D125"/>
    <mergeCell ref="I251:I255"/>
    <mergeCell ref="F251:F255"/>
    <mergeCell ref="A51:B51"/>
    <mergeCell ref="A61:I63"/>
    <mergeCell ref="A66:I68"/>
    <mergeCell ref="A65:I65"/>
    <mergeCell ref="C51:I51"/>
    <mergeCell ref="A59:E59"/>
    <mergeCell ref="A60:I60"/>
    <mergeCell ref="A53:I56"/>
    <mergeCell ref="F275:F279"/>
    <mergeCell ref="F295:F299"/>
    <mergeCell ref="F260:F263"/>
    <mergeCell ref="H260:H263"/>
    <mergeCell ref="I260:I263"/>
    <mergeCell ref="I256:I259"/>
    <mergeCell ref="A471:F471"/>
    <mergeCell ref="G471:H471"/>
    <mergeCell ref="F86:I86"/>
    <mergeCell ref="F88:I88"/>
    <mergeCell ref="F90:I90"/>
    <mergeCell ref="G92:H92"/>
    <mergeCell ref="F99:I99"/>
    <mergeCell ref="A101:I101"/>
    <mergeCell ref="H280:H284"/>
    <mergeCell ref="A295:A299"/>
    <mergeCell ref="L290:L294"/>
    <mergeCell ref="M290:M294"/>
    <mergeCell ref="A290:A294"/>
    <mergeCell ref="B290:E294"/>
    <mergeCell ref="F290:F294"/>
    <mergeCell ref="G290:G294"/>
    <mergeCell ref="H290:H294"/>
    <mergeCell ref="I290:I294"/>
    <mergeCell ref="B373:C373"/>
    <mergeCell ref="B374:C375"/>
    <mergeCell ref="B379:C382"/>
    <mergeCell ref="B336:D339"/>
    <mergeCell ref="D359:I359"/>
    <mergeCell ref="D368:D369"/>
    <mergeCell ref="B370:C372"/>
    <mergeCell ref="B341:D341"/>
    <mergeCell ref="E382:I382"/>
    <mergeCell ref="B376:C378"/>
    <mergeCell ref="K275:K279"/>
    <mergeCell ref="G280:G284"/>
    <mergeCell ref="K295:K299"/>
    <mergeCell ref="K290:K294"/>
    <mergeCell ref="G295:G299"/>
    <mergeCell ref="H295:H299"/>
    <mergeCell ref="I280:I284"/>
    <mergeCell ref="H275:H279"/>
    <mergeCell ref="I295:I299"/>
    <mergeCell ref="A46:B46"/>
    <mergeCell ref="L285:L289"/>
    <mergeCell ref="I275:I279"/>
    <mergeCell ref="G271:G274"/>
    <mergeCell ref="H271:H274"/>
    <mergeCell ref="I271:I274"/>
    <mergeCell ref="L251:L255"/>
    <mergeCell ref="F285:F289"/>
    <mergeCell ref="C46:I46"/>
    <mergeCell ref="H285:H289"/>
    <mergeCell ref="L295:L299"/>
    <mergeCell ref="G275:G279"/>
    <mergeCell ref="A275:A279"/>
    <mergeCell ref="B275:E279"/>
    <mergeCell ref="B285:E289"/>
    <mergeCell ref="A285:A289"/>
    <mergeCell ref="G285:G289"/>
    <mergeCell ref="L275:L279"/>
    <mergeCell ref="B295:E299"/>
    <mergeCell ref="I285:I289"/>
    <mergeCell ref="K256:K259"/>
    <mergeCell ref="L256:L259"/>
    <mergeCell ref="M295:M299"/>
    <mergeCell ref="M256:M259"/>
    <mergeCell ref="M260:M263"/>
    <mergeCell ref="M285:M289"/>
    <mergeCell ref="K280:K284"/>
    <mergeCell ref="L280:L284"/>
    <mergeCell ref="M280:M284"/>
    <mergeCell ref="K285:K289"/>
    <mergeCell ref="M275:M279"/>
    <mergeCell ref="K260:K263"/>
    <mergeCell ref="L260:L263"/>
    <mergeCell ref="F269:I269"/>
    <mergeCell ref="A266:I266"/>
    <mergeCell ref="B268:E270"/>
    <mergeCell ref="G260:G263"/>
    <mergeCell ref="B265:I265"/>
    <mergeCell ref="F268:I268"/>
    <mergeCell ref="F271:F274"/>
    <mergeCell ref="M247:M250"/>
    <mergeCell ref="K247:K250"/>
    <mergeCell ref="L247:L250"/>
    <mergeCell ref="K251:K255"/>
    <mergeCell ref="M251:M255"/>
    <mergeCell ref="G256:G259"/>
    <mergeCell ref="H256:H259"/>
    <mergeCell ref="G251:G255"/>
    <mergeCell ref="H247:H250"/>
    <mergeCell ref="H251:H255"/>
    <mergeCell ref="A260:A263"/>
    <mergeCell ref="B251:E255"/>
    <mergeCell ref="B260:E263"/>
    <mergeCell ref="A251:A255"/>
    <mergeCell ref="A247:A250"/>
    <mergeCell ref="F256:F259"/>
    <mergeCell ref="A256:A259"/>
    <mergeCell ref="B247:E250"/>
    <mergeCell ref="F240:I240"/>
    <mergeCell ref="F243:F246"/>
    <mergeCell ref="G243:G246"/>
    <mergeCell ref="H243:H246"/>
    <mergeCell ref="I243:I246"/>
    <mergeCell ref="F247:F250"/>
    <mergeCell ref="G247:G250"/>
    <mergeCell ref="I247:I250"/>
    <mergeCell ref="B224:I224"/>
    <mergeCell ref="H161:H162"/>
    <mergeCell ref="H177:I177"/>
    <mergeCell ref="B174:C174"/>
    <mergeCell ref="I167:I168"/>
    <mergeCell ref="B240:E246"/>
    <mergeCell ref="B202:D202"/>
    <mergeCell ref="B203:D204"/>
    <mergeCell ref="B205:D205"/>
    <mergeCell ref="F208:G209"/>
    <mergeCell ref="F317:F318"/>
    <mergeCell ref="B303:D305"/>
    <mergeCell ref="B313:D313"/>
    <mergeCell ref="B306:D311"/>
    <mergeCell ref="B135:I136"/>
    <mergeCell ref="E141:I141"/>
    <mergeCell ref="E142:I142"/>
    <mergeCell ref="F241:I241"/>
    <mergeCell ref="I155:I156"/>
    <mergeCell ref="I158:I159"/>
    <mergeCell ref="E304:I304"/>
    <mergeCell ref="A306:A316"/>
    <mergeCell ref="E306:E314"/>
    <mergeCell ref="E315:E316"/>
    <mergeCell ref="F280:F284"/>
    <mergeCell ref="B280:E284"/>
    <mergeCell ref="H315:H316"/>
    <mergeCell ref="B333:D335"/>
    <mergeCell ref="B317:D319"/>
    <mergeCell ref="E326:E333"/>
    <mergeCell ref="E334:E335"/>
    <mergeCell ref="B321:D321"/>
    <mergeCell ref="B322:D325"/>
    <mergeCell ref="E317:E323"/>
    <mergeCell ref="F334:F335"/>
    <mergeCell ref="B314:D316"/>
    <mergeCell ref="E365:E366"/>
    <mergeCell ref="G368:G369"/>
    <mergeCell ref="D358:I358"/>
    <mergeCell ref="B331:D331"/>
    <mergeCell ref="B332:D332"/>
    <mergeCell ref="G341:G342"/>
    <mergeCell ref="F344:F345"/>
    <mergeCell ref="E344:E345"/>
    <mergeCell ref="A422:A424"/>
    <mergeCell ref="A408:A409"/>
    <mergeCell ref="A410:A412"/>
    <mergeCell ref="A413:A419"/>
    <mergeCell ref="B415:C415"/>
    <mergeCell ref="B416:C416"/>
    <mergeCell ref="B420:I421"/>
    <mergeCell ref="B408:I409"/>
    <mergeCell ref="I413:I417"/>
    <mergeCell ref="B413:C414"/>
    <mergeCell ref="B493:D493"/>
    <mergeCell ref="A35:I35"/>
    <mergeCell ref="O314:O321"/>
    <mergeCell ref="G324:G325"/>
    <mergeCell ref="H324:H325"/>
    <mergeCell ref="I324:I325"/>
    <mergeCell ref="O304:O313"/>
    <mergeCell ref="I315:I316"/>
    <mergeCell ref="E324:E325"/>
    <mergeCell ref="G315:G316"/>
    <mergeCell ref="C505:I506"/>
    <mergeCell ref="B494:D494"/>
    <mergeCell ref="B495:D495"/>
    <mergeCell ref="B497:E497"/>
    <mergeCell ref="B500:I500"/>
    <mergeCell ref="B502:I502"/>
    <mergeCell ref="B504:I504"/>
    <mergeCell ref="B492:D492"/>
    <mergeCell ref="B485:I485"/>
    <mergeCell ref="B486:D486"/>
    <mergeCell ref="B487:D487"/>
    <mergeCell ref="B488:D488"/>
    <mergeCell ref="B490:D490"/>
    <mergeCell ref="B489:D489"/>
    <mergeCell ref="B491:D491"/>
    <mergeCell ref="E395:I395"/>
    <mergeCell ref="O322:O331"/>
    <mergeCell ref="F326:F327"/>
    <mergeCell ref="F341:F342"/>
    <mergeCell ref="I354:I355"/>
    <mergeCell ref="F324:F325"/>
    <mergeCell ref="H354:H355"/>
    <mergeCell ref="F368:F369"/>
    <mergeCell ref="E379:E380"/>
    <mergeCell ref="E368:E369"/>
    <mergeCell ref="E389:I389"/>
    <mergeCell ref="E449:E450"/>
    <mergeCell ref="E443:E444"/>
    <mergeCell ref="H443:I444"/>
    <mergeCell ref="F443:F444"/>
    <mergeCell ref="G443:G444"/>
    <mergeCell ref="E445:E448"/>
    <mergeCell ref="F449:F450"/>
    <mergeCell ref="F397:G397"/>
    <mergeCell ref="H397:I397"/>
    <mergeCell ref="O355:O365"/>
    <mergeCell ref="H368:H369"/>
    <mergeCell ref="O333:O341"/>
    <mergeCell ref="G334:G335"/>
    <mergeCell ref="H334:H335"/>
    <mergeCell ref="O346:O352"/>
    <mergeCell ref="H344:H345"/>
    <mergeCell ref="I341:I342"/>
    <mergeCell ref="I344:I345"/>
    <mergeCell ref="G344:G345"/>
    <mergeCell ref="E361:E362"/>
    <mergeCell ref="D370:D372"/>
    <mergeCell ref="B367:C369"/>
    <mergeCell ref="E370:I370"/>
    <mergeCell ref="I368:I369"/>
    <mergeCell ref="B366:C366"/>
    <mergeCell ref="H372:I372"/>
    <mergeCell ref="F372:G372"/>
    <mergeCell ref="D361:D362"/>
    <mergeCell ref="E371:I371"/>
    <mergeCell ref="A373:A375"/>
    <mergeCell ref="A376:A378"/>
    <mergeCell ref="D392:D394"/>
    <mergeCell ref="H393:H394"/>
    <mergeCell ref="E393:E394"/>
    <mergeCell ref="F374:G375"/>
    <mergeCell ref="F393:F394"/>
    <mergeCell ref="H374:I375"/>
    <mergeCell ref="I393:I394"/>
    <mergeCell ref="G393:G394"/>
    <mergeCell ref="B395:C397"/>
    <mergeCell ref="A392:A394"/>
    <mergeCell ref="B392:C392"/>
    <mergeCell ref="B386:C386"/>
    <mergeCell ref="A389:A391"/>
    <mergeCell ref="B389:C391"/>
    <mergeCell ref="B387:C388"/>
    <mergeCell ref="A379:A388"/>
    <mergeCell ref="B383:C385"/>
    <mergeCell ref="A395:A397"/>
    <mergeCell ref="A346:A355"/>
    <mergeCell ref="A358:A360"/>
    <mergeCell ref="B358:C360"/>
    <mergeCell ref="A370:A372"/>
    <mergeCell ref="B365:C365"/>
    <mergeCell ref="B361:C364"/>
    <mergeCell ref="A361:A369"/>
    <mergeCell ref="B346:D352"/>
    <mergeCell ref="B354:D354"/>
    <mergeCell ref="B355:D355"/>
    <mergeCell ref="A445:A450"/>
    <mergeCell ref="A420:A421"/>
    <mergeCell ref="A425:A433"/>
    <mergeCell ref="B403:C405"/>
    <mergeCell ref="A434:A444"/>
    <mergeCell ref="B445:D445"/>
    <mergeCell ref="B429:D429"/>
    <mergeCell ref="A398:A405"/>
    <mergeCell ref="B440:D440"/>
    <mergeCell ref="B410:C412"/>
    <mergeCell ref="E374:E375"/>
    <mergeCell ref="L33:M33"/>
    <mergeCell ref="F315:F316"/>
    <mergeCell ref="I334:I335"/>
    <mergeCell ref="F346:F347"/>
    <mergeCell ref="E303:I303"/>
    <mergeCell ref="B301:I301"/>
    <mergeCell ref="F336:F338"/>
    <mergeCell ref="B342:D345"/>
    <mergeCell ref="F354:F355"/>
    <mergeCell ref="G47:I47"/>
    <mergeCell ref="B103:I103"/>
    <mergeCell ref="B116:C116"/>
    <mergeCell ref="G49:H49"/>
    <mergeCell ref="B105:I107"/>
    <mergeCell ref="B108:I110"/>
    <mergeCell ref="A49:D49"/>
    <mergeCell ref="D99:E99"/>
    <mergeCell ref="A76:C76"/>
    <mergeCell ref="C80:I82"/>
    <mergeCell ref="B115:C115"/>
    <mergeCell ref="H118:I119"/>
    <mergeCell ref="H115:I117"/>
    <mergeCell ref="F118:G119"/>
    <mergeCell ref="E354:E355"/>
    <mergeCell ref="B353:D353"/>
    <mergeCell ref="E346:E353"/>
    <mergeCell ref="E336:E342"/>
    <mergeCell ref="G354:G355"/>
    <mergeCell ref="B326:D330"/>
    <mergeCell ref="D113:I113"/>
    <mergeCell ref="A102:I102"/>
    <mergeCell ref="A84:C85"/>
    <mergeCell ref="A86:C87"/>
    <mergeCell ref="A92:F92"/>
    <mergeCell ref="B95:I95"/>
    <mergeCell ref="B96:I96"/>
    <mergeCell ref="A115:A119"/>
    <mergeCell ref="B117:C117"/>
    <mergeCell ref="A120:A122"/>
    <mergeCell ref="D118:E119"/>
    <mergeCell ref="B118:C119"/>
    <mergeCell ref="E120:I120"/>
    <mergeCell ref="F122:G122"/>
    <mergeCell ref="E121:I121"/>
    <mergeCell ref="D115:E117"/>
    <mergeCell ref="F115:G117"/>
    <mergeCell ref="C42:I44"/>
    <mergeCell ref="A42:B42"/>
    <mergeCell ref="A45:B45"/>
    <mergeCell ref="A112:A114"/>
    <mergeCell ref="B112:C114"/>
    <mergeCell ref="D112:I112"/>
    <mergeCell ref="D114:E114"/>
    <mergeCell ref="F114:G114"/>
    <mergeCell ref="H114:I114"/>
    <mergeCell ref="E49:F49"/>
    <mergeCell ref="A36:I38"/>
    <mergeCell ref="F124:G125"/>
    <mergeCell ref="B137:I139"/>
    <mergeCell ref="F468:I468"/>
    <mergeCell ref="A34:I34"/>
    <mergeCell ref="D41:I41"/>
    <mergeCell ref="E50:F50"/>
    <mergeCell ref="A50:D50"/>
    <mergeCell ref="A47:C47"/>
    <mergeCell ref="D47:F47"/>
    <mergeCell ref="A41:C41"/>
    <mergeCell ref="A48:C48"/>
    <mergeCell ref="C45:I45"/>
    <mergeCell ref="B474:I474"/>
    <mergeCell ref="F477:I477"/>
    <mergeCell ref="B454:E454"/>
    <mergeCell ref="F470:I470"/>
    <mergeCell ref="B455:E455"/>
    <mergeCell ref="B458:G458"/>
    <mergeCell ref="F466:I466"/>
    <mergeCell ref="B456:E456"/>
    <mergeCell ref="A466:C467"/>
    <mergeCell ref="A464:C465"/>
    <mergeCell ref="G434:G442"/>
    <mergeCell ref="F445:F448"/>
    <mergeCell ref="F455:I455"/>
    <mergeCell ref="H434:I442"/>
    <mergeCell ref="G449:G450"/>
    <mergeCell ref="F454:I454"/>
    <mergeCell ref="B441:D444"/>
    <mergeCell ref="H432:I433"/>
    <mergeCell ref="E425:E431"/>
    <mergeCell ref="B434:D438"/>
    <mergeCell ref="E434:E442"/>
    <mergeCell ref="B439:D439"/>
    <mergeCell ref="F434:F442"/>
    <mergeCell ref="H424:I424"/>
    <mergeCell ref="B431:D433"/>
    <mergeCell ref="E432:E433"/>
    <mergeCell ref="H425:I425"/>
    <mergeCell ref="F425:F431"/>
    <mergeCell ref="G425:G431"/>
    <mergeCell ref="H426:I431"/>
    <mergeCell ref="B430:D430"/>
    <mergeCell ref="F432:F433"/>
    <mergeCell ref="G432:G433"/>
    <mergeCell ref="B1:E1"/>
    <mergeCell ref="F1:I1"/>
    <mergeCell ref="F398:G398"/>
    <mergeCell ref="H400:I403"/>
    <mergeCell ref="D373:D375"/>
    <mergeCell ref="E396:I396"/>
    <mergeCell ref="D379:D386"/>
    <mergeCell ref="E390:I390"/>
    <mergeCell ref="H122:I122"/>
    <mergeCell ref="B398:C402"/>
    <mergeCell ref="F306:F308"/>
    <mergeCell ref="H126:I126"/>
    <mergeCell ref="F129:G129"/>
    <mergeCell ref="H129:I129"/>
    <mergeCell ref="E130:E131"/>
    <mergeCell ref="H127:I128"/>
    <mergeCell ref="F130:G131"/>
    <mergeCell ref="H130:I131"/>
    <mergeCell ref="B133:I133"/>
    <mergeCell ref="B271:E274"/>
    <mergeCell ref="H413:H417"/>
    <mergeCell ref="F413:F417"/>
    <mergeCell ref="E413:E417"/>
    <mergeCell ref="G418:G419"/>
    <mergeCell ref="E418:E419"/>
    <mergeCell ref="D376:I376"/>
    <mergeCell ref="D395:D397"/>
    <mergeCell ref="E398:E403"/>
    <mergeCell ref="D418:D419"/>
    <mergeCell ref="E387:E388"/>
    <mergeCell ref="P372:P374"/>
    <mergeCell ref="D377:I377"/>
    <mergeCell ref="I387:I388"/>
    <mergeCell ref="D387:D388"/>
    <mergeCell ref="F387:F388"/>
    <mergeCell ref="G387:G388"/>
    <mergeCell ref="H387:H388"/>
    <mergeCell ref="F373:G373"/>
    <mergeCell ref="H373:I373"/>
    <mergeCell ref="P375:P384"/>
    <mergeCell ref="A123:A125"/>
    <mergeCell ref="F123:G123"/>
    <mergeCell ref="H123:I123"/>
    <mergeCell ref="E124:E125"/>
    <mergeCell ref="H124:I125"/>
    <mergeCell ref="A126:A128"/>
    <mergeCell ref="F126:G126"/>
    <mergeCell ref="E127:E128"/>
    <mergeCell ref="F127:G128"/>
    <mergeCell ref="B126:D126"/>
    <mergeCell ref="E206:E207"/>
    <mergeCell ref="H206:I207"/>
    <mergeCell ref="B166:C173"/>
    <mergeCell ref="D166:D174"/>
    <mergeCell ref="F175:I175"/>
    <mergeCell ref="F176:I176"/>
    <mergeCell ref="F177:G177"/>
    <mergeCell ref="H167:H168"/>
    <mergeCell ref="F173:F174"/>
    <mergeCell ref="G173:G174"/>
    <mergeCell ref="H173:H174"/>
    <mergeCell ref="I173:I174"/>
    <mergeCell ref="B226:I229"/>
    <mergeCell ref="G192:G193"/>
    <mergeCell ref="E196:I196"/>
    <mergeCell ref="E197:I197"/>
    <mergeCell ref="F198:G198"/>
    <mergeCell ref="H198:I198"/>
    <mergeCell ref="H199:I199"/>
    <mergeCell ref="H152:H153"/>
    <mergeCell ref="I152:I153"/>
    <mergeCell ref="D144:D153"/>
    <mergeCell ref="D154:D162"/>
    <mergeCell ref="H155:H156"/>
    <mergeCell ref="I161:I162"/>
    <mergeCell ref="E161:E162"/>
    <mergeCell ref="F161:F162"/>
    <mergeCell ref="G161:G162"/>
    <mergeCell ref="A240:A246"/>
    <mergeCell ref="A129:A131"/>
    <mergeCell ref="A154:A162"/>
    <mergeCell ref="B154:C160"/>
    <mergeCell ref="A144:A153"/>
    <mergeCell ref="B144:C149"/>
    <mergeCell ref="B161:C162"/>
    <mergeCell ref="A141:A143"/>
    <mergeCell ref="B141:C143"/>
    <mergeCell ref="B230:I235"/>
    <mergeCell ref="A336:A345"/>
    <mergeCell ref="A268:A274"/>
    <mergeCell ref="B256:E259"/>
    <mergeCell ref="B340:D340"/>
    <mergeCell ref="A326:A335"/>
    <mergeCell ref="A317:A325"/>
    <mergeCell ref="A303:A305"/>
    <mergeCell ref="A280:A284"/>
    <mergeCell ref="B312:D312"/>
    <mergeCell ref="B320:D320"/>
    <mergeCell ref="D141:D143"/>
    <mergeCell ref="A479:I483"/>
    <mergeCell ref="B447:D447"/>
    <mergeCell ref="B448:D448"/>
    <mergeCell ref="B449:D450"/>
    <mergeCell ref="H449:I450"/>
    <mergeCell ref="G445:G448"/>
    <mergeCell ref="H445:I448"/>
    <mergeCell ref="F456:I456"/>
    <mergeCell ref="D477:E477"/>
    <mergeCell ref="B473:I473"/>
    <mergeCell ref="B393:C394"/>
    <mergeCell ref="B426:D428"/>
    <mergeCell ref="D389:D391"/>
    <mergeCell ref="D398:D405"/>
    <mergeCell ref="D410:I410"/>
    <mergeCell ref="D411:I411"/>
    <mergeCell ref="B422:D424"/>
    <mergeCell ref="B425:D425"/>
    <mergeCell ref="G413:G417"/>
    <mergeCell ref="D413:D417"/>
    <mergeCell ref="E423:I423"/>
    <mergeCell ref="H398:I399"/>
    <mergeCell ref="F399:G403"/>
    <mergeCell ref="H418:H419"/>
    <mergeCell ref="F418:F419"/>
    <mergeCell ref="E404:E405"/>
    <mergeCell ref="H404:I405"/>
    <mergeCell ref="I418:I419"/>
    <mergeCell ref="E422:I422"/>
    <mergeCell ref="F404:G405"/>
    <mergeCell ref="B417:C419"/>
    <mergeCell ref="H145:H146"/>
    <mergeCell ref="I145:I146"/>
    <mergeCell ref="E147:I147"/>
    <mergeCell ref="E149:E150"/>
    <mergeCell ref="I149:I150"/>
    <mergeCell ref="B150:C153"/>
    <mergeCell ref="E152:E153"/>
    <mergeCell ref="F152:F153"/>
    <mergeCell ref="G152:G153"/>
    <mergeCell ref="A175:A177"/>
    <mergeCell ref="B175:C177"/>
    <mergeCell ref="D175:E177"/>
    <mergeCell ref="A166:A174"/>
    <mergeCell ref="E173:E174"/>
    <mergeCell ref="A163:A165"/>
    <mergeCell ref="B163:C165"/>
    <mergeCell ref="D163:D165"/>
    <mergeCell ref="E163:I163"/>
    <mergeCell ref="E164:I164"/>
    <mergeCell ref="A185:A187"/>
    <mergeCell ref="B185:C187"/>
    <mergeCell ref="D185:E187"/>
    <mergeCell ref="F185:I185"/>
    <mergeCell ref="F186:I186"/>
    <mergeCell ref="A178:A184"/>
    <mergeCell ref="B178:C182"/>
    <mergeCell ref="D178:E184"/>
    <mergeCell ref="F183:G184"/>
    <mergeCell ref="H178:I182"/>
    <mergeCell ref="F178:G182"/>
    <mergeCell ref="I192:I193"/>
    <mergeCell ref="B183:C184"/>
    <mergeCell ref="H183:I184"/>
    <mergeCell ref="B188:C191"/>
    <mergeCell ref="D188:E193"/>
    <mergeCell ref="B192:C193"/>
    <mergeCell ref="H192:H193"/>
    <mergeCell ref="A188:A193"/>
    <mergeCell ref="F192:F193"/>
    <mergeCell ref="F199:G199"/>
    <mergeCell ref="F202:G202"/>
    <mergeCell ref="H202:I202"/>
    <mergeCell ref="E203:E204"/>
    <mergeCell ref="E200:E201"/>
    <mergeCell ref="F200:G201"/>
    <mergeCell ref="H200:I201"/>
    <mergeCell ref="H210:I211"/>
    <mergeCell ref="F203:G204"/>
    <mergeCell ref="H203:I204"/>
    <mergeCell ref="H212:I216"/>
    <mergeCell ref="B214:D214"/>
    <mergeCell ref="B215:D215"/>
    <mergeCell ref="B216:D218"/>
    <mergeCell ref="E217:E218"/>
    <mergeCell ref="F205:G205"/>
    <mergeCell ref="H205:I205"/>
    <mergeCell ref="H219:I220"/>
    <mergeCell ref="E221:E222"/>
    <mergeCell ref="F221:G222"/>
    <mergeCell ref="H221:I222"/>
    <mergeCell ref="A219:A222"/>
    <mergeCell ref="B219:D221"/>
    <mergeCell ref="E219:E220"/>
    <mergeCell ref="F219:G220"/>
    <mergeCell ref="B222:D222"/>
    <mergeCell ref="F217:G218"/>
    <mergeCell ref="A212:A218"/>
    <mergeCell ref="B212:D213"/>
    <mergeCell ref="E212:E216"/>
    <mergeCell ref="F212:G216"/>
    <mergeCell ref="H217:I218"/>
  </mergeCells>
  <conditionalFormatting sqref="B485:I485">
    <cfRule type="cellIs" priority="13" dxfId="37" operator="equal" stopIfTrue="1">
      <formula>"ЭЗ не готово к печати"</formula>
    </cfRule>
    <cfRule type="cellIs" priority="14" dxfId="38" operator="equal" stopIfTrue="1">
      <formula>"Экспертное заключение ГОТОВО к печати"</formula>
    </cfRule>
  </conditionalFormatting>
  <conditionalFormatting sqref="B473:I475 B95:I97">
    <cfRule type="cellIs" priority="5" dxfId="39" operator="equal" stopIfTrue="1">
      <formula>" "</formula>
    </cfRule>
  </conditionalFormatting>
  <conditionalFormatting sqref="E465:E470 G471 I471 E85:E91 G92:G93 I92:I93">
    <cfRule type="cellIs" priority="6" dxfId="40" operator="notEqual" stopIfTrue="1">
      <formula>"« __ » ___________  20__ г."</formula>
    </cfRule>
  </conditionalFormatting>
  <conditionalFormatting sqref="D460 D76:D77">
    <cfRule type="cellIs" priority="7" dxfId="41" operator="equal" stopIfTrue="1">
      <formula>"уточните должность"</formula>
    </cfRule>
  </conditionalFormatting>
  <conditionalFormatting sqref="F465 F467 F469 F85 F87 F89">
    <cfRule type="cellIs" priority="8" dxfId="41" operator="equal" stopIfTrue="1">
      <formula>"нет данных"</formula>
    </cfRule>
  </conditionalFormatting>
  <conditionalFormatting sqref="F275:F299">
    <cfRule type="containsText" priority="2" dxfId="42" operator="containsText" stopIfTrue="1" text="Не">
      <formula>NOT(ISERROR(SEARCH("Не",F275)))</formula>
    </cfRule>
  </conditionalFormatting>
  <conditionalFormatting sqref="B275:E299">
    <cfRule type="expression" priority="1" dxfId="43" stopIfTrue="1">
      <formula>$E$50="первая"</formula>
    </cfRule>
  </conditionalFormatting>
  <dataValidations count="48">
    <dataValidation allowBlank="1" showInputMessage="1" showErrorMessage="1" promptTitle="Внимание!" prompt="Введите данные на листе &#10;&quot;Общие сведения&quot;" sqref="I471 G471 F476:F477 F461 E462 A470:A471 F465:I465 F467:I467 F469:I469 F466 F468 F470 F77 F90:F91 F88 F86 F89:I89 F87:I87 F85:I85 A90:A93 F98:F99 G92:G93 I92:I93 A61:I63 C53:I58 AT53:BE58 A53:B57"/>
    <dataValidation type="whole" allowBlank="1" showInputMessage="1" showErrorMessage="1" sqref="K478">
      <formula1>1</formula1>
      <formula2>31</formula2>
    </dataValidation>
    <dataValidation type="list" allowBlank="1" showInputMessage="1" showErrorMessage="1" sqref="M478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&#10;" sqref="D460 D76:D77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458"/>
    <dataValidation type="list" allowBlank="1" showInputMessage="1" showErrorMessage="1" sqref="H449 H183 H443 H418 H432">
      <formula1>"300, "</formula1>
    </dataValidation>
    <dataValidation type="list" allowBlank="1" showInputMessage="1" showErrorMessage="1" sqref="G449 G432 G418 G443">
      <formula1>"200, "</formula1>
    </dataValidation>
    <dataValidation type="list" allowBlank="1" showInputMessage="1" showErrorMessage="1" sqref="F449 F443 F432 F418">
      <formula1>"100, "</formula1>
    </dataValidation>
    <dataValidation type="list" allowBlank="1" showInputMessage="1" showErrorMessage="1" sqref="E418 H374:I375">
      <formula1>"50, "</formula1>
    </dataValidation>
    <dataValidation type="list" allowBlank="1" showInputMessage="1" showErrorMessage="1" sqref="F404:G405">
      <formula1>"100, 150, 200, 250, "</formula1>
    </dataValidation>
    <dataValidation type="list" allowBlank="1" showInputMessage="1" showErrorMessage="1" sqref="H404:I405">
      <formula1>"300, 400, 500, "</formula1>
    </dataValidation>
    <dataValidation type="list" allowBlank="1" showInputMessage="1" showErrorMessage="1" sqref="I418:I419">
      <formula1>"150, "</formula1>
    </dataValidation>
    <dataValidation type="list" allowBlank="1" showInputMessage="1" showErrorMessage="1" sqref="G344 F173 F161 H192:H193 G324 F368 G315 G334 G354:G355">
      <formula1>"30, 40, 50, "</formula1>
    </dataValidation>
    <dataValidation type="list" allowBlank="1" showInputMessage="1" showErrorMessage="1" sqref="E387:E388 G192:G193 F315:F316 E368 F334 F324 F344 F354:F355">
      <formula1>"10, 20, 30, "</formula1>
    </dataValidation>
    <dataValidation type="list" allowBlank="1" showInputMessage="1" showErrorMessage="1" sqref="F393">
      <formula1>"10, "</formula1>
    </dataValidation>
    <dataValidation type="list" allowBlank="1" showInputMessage="1" showErrorMessage="1" sqref="G393:H393">
      <formula1>"20, "</formula1>
    </dataValidation>
    <dataValidation type="list" allowBlank="1" showInputMessage="1" showErrorMessage="1" sqref="I393:I394">
      <formula1>"10,20,30,40,50,60,70,80,90,100, 110,120,130,140,150,160,170,180,190,200, "</formula1>
    </dataValidation>
    <dataValidation type="list" allowBlank="1" showInputMessage="1" showErrorMessage="1" sqref="H368:H369 I324 I344 I315 I334 I354:I355">
      <formula1>"80, 90, 100, "</formula1>
    </dataValidation>
    <dataValidation type="list" allowBlank="1" showInputMessage="1" showErrorMessage="1" sqref="H344 H324 G368 H315 H334 H354:H355">
      <formula1>"50, 60, 70, 80, "</formula1>
    </dataValidation>
    <dataValidation type="list" allowBlank="1" showInputMessage="1" showErrorMessage="1" sqref="F374:G375">
      <formula1>"30, "</formula1>
    </dataValidation>
    <dataValidation type="list" allowBlank="1" showInputMessage="1" showErrorMessage="1" sqref="I368:I369">
      <formula1>"120, 130, 150, "</formula1>
    </dataValidation>
    <dataValidation type="list" allowBlank="1" showInputMessage="1" showErrorMessage="1" sqref="F387:F388">
      <formula1>"20, 30, 50, "</formula1>
    </dataValidation>
    <dataValidation type="list" allowBlank="1" showInputMessage="1" showErrorMessage="1" sqref="G387:G388">
      <formula1>"30, 50, 60, 70, "</formula1>
    </dataValidation>
    <dataValidation type="list" allowBlank="1" showInputMessage="1" showErrorMessage="1" sqref="H387:H388">
      <formula1>"40, 70, 80, 90, 100, "</formula1>
    </dataValidation>
    <dataValidation type="list" allowBlank="1" showInputMessage="1" showErrorMessage="1" sqref="I387:I388">
      <formula1>"50, 100, 120, 140, 150, "</formula1>
    </dataValidation>
    <dataValidation type="list" allowBlank="1" showInputMessage="1" showErrorMessage="1" sqref="I247:I263">
      <formula1>"50, 60, "</formula1>
    </dataValidation>
    <dataValidation type="list" allowBlank="1" showInputMessage="1" showErrorMessage="1" sqref="H247:H263">
      <formula1>"30, 40, "</formula1>
    </dataValidation>
    <dataValidation type="list" allowBlank="1" showInputMessage="1" showErrorMessage="1" sqref="G247:G263">
      <formula1>"10, 20,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G275 G280 G285 G295 G290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H275 H280 H285 H295 H290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I275 I280 I285 I295 I290">
      <formula1>"70, 80, 90, 100,"</formula1>
    </dataValidation>
    <dataValidation type="list" allowBlank="1" showInputMessage="1" showErrorMessage="1" sqref="F217:G218 F130:G132 F206:G207 F200:G201 F203:G204 F210:G211 F118:G119 F127:G128 F124:G125">
      <formula1>"10, 20, 30, 40, 50, "</formula1>
    </dataValidation>
    <dataValidation type="list" allowBlank="1" showInputMessage="1" showErrorMessage="1" sqref="H217:I218 H130:I132 H206:I207 H200:I201 H203:I204 H210:I211 H118:I119 H127:I128 H124:I125">
      <formula1>"60, 70, 80, 90, 100, "</formula1>
    </dataValidation>
    <dataValidation type="list" allowBlank="1" showInputMessage="1" showErrorMessage="1" sqref="H221:I223">
      <formula1>"60,70,80,90,100, "</formula1>
    </dataValidation>
    <dataValidation type="list" allowBlank="1" showInputMessage="1" showErrorMessage="1" sqref="F221:G223">
      <formula1>"10,20,30,40,50,  "</formula1>
    </dataValidation>
    <dataValidation type="list" allowBlank="1" showInputMessage="1" showErrorMessage="1" sqref="I192 G173">
      <formula1>"50, 60, 70, "</formula1>
    </dataValidation>
    <dataValidation type="list" allowBlank="1" showInputMessage="1" showErrorMessage="1" sqref="H173:H174">
      <formula1>"70, 80, 100"</formula1>
    </dataValidation>
    <dataValidation type="list" allowBlank="1" showInputMessage="1" showErrorMessage="1" sqref="E161:E162 E152:E153 E173:E174">
      <formula1>"0, 10, 20, 30, "</formula1>
    </dataValidation>
    <dataValidation type="list" allowBlank="1" showInputMessage="1" showErrorMessage="1" sqref="I152:I153">
      <formula1>"100, 170, 200, "</formula1>
    </dataValidation>
    <dataValidation type="list" allowBlank="1" showInputMessage="1" showErrorMessage="1" sqref="F152:F153">
      <formula1>"20, 30, 40, 50, "</formula1>
    </dataValidation>
    <dataValidation type="list" allowBlank="1" showInputMessage="1" showErrorMessage="1" sqref="G152:G153">
      <formula1>"30, 50, 70, 100, "</formula1>
    </dataValidation>
    <dataValidation type="list" allowBlank="1" showInputMessage="1" showErrorMessage="1" sqref="H152:H153">
      <formula1>"70, 100, 130, 150"</formula1>
    </dataValidation>
    <dataValidation type="list" allowBlank="1" showInputMessage="1" showErrorMessage="1" sqref="H161">
      <formula1>"130, 150, 170"</formula1>
    </dataValidation>
    <dataValidation type="list" allowBlank="1" showInputMessage="1" showErrorMessage="1" sqref="I161">
      <formula1>"170, 200, "</formula1>
    </dataValidation>
    <dataValidation type="list" allowBlank="1" showInputMessage="1" showErrorMessage="1" sqref="I173:I174">
      <formula1>"120, 130, 150"</formula1>
    </dataValidation>
    <dataValidation type="list" allowBlank="1" showInputMessage="1" showErrorMessage="1" sqref="G161">
      <formula1>"50, 70,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D41:I41 A41:B51 C41:C43 C45:I51 F59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 в пп.  1  и  2      -  0 баллов&#10;" sqref="C80:I82"/>
  </dataValidations>
  <hyperlinks>
    <hyperlink ref="B500:I500" location="'общие сведения'!B2" tooltip="Щелкните, чтобы перейти по ссылке" display="вернуться на лист 'общие сведения'"/>
    <hyperlink ref="B502:I502" location="ЭЗ!A1" tooltip="Щелкните, чтобы перейти по ссылке" display="в начало Экспертного заключения"/>
    <hyperlink ref="B486" location="'общие сведения'!C17" display="Фамилия, имя, отчество "/>
    <hyperlink ref="B489" location="'общие сведения'!G19" display="Муниципальное образование "/>
    <hyperlink ref="B489:D489" location="'общие сведения'!G21" tooltip="Щелкните, чтобы перейти по ссылке" display="Муниципальное образование "/>
    <hyperlink ref="B487:D487" location="'общие сведения'!C23" tooltip="Щелкните, чтобы перейти по ссылке" display="Место работы"/>
    <hyperlink ref="B488:D488" location="'общие сведения'!C26" tooltip="Щелкните, чтобы перейти по ссылке" display="Должность "/>
    <hyperlink ref="B490:D490" location="'общие сведения'!D34" tooltip="Щелкните, чтобы перейти по ссылке" display="Стаж педагогической работы"/>
    <hyperlink ref="B491:D491" location="'общие сведения'!D35" tooltip="Щелкните, чтобы перейти по ссылке" display="Наличие квалификационной категории"/>
    <hyperlink ref="B492:D492" location="'общие сведения'!I35" tooltip="Щелкните, чтобы перейти по ссылке" display="дата присвоения"/>
    <hyperlink ref="B493:D493" location="'общие сведения'!D37" tooltip="Щелкните, чтобы перейти по ссылке" display="Заявленная квалификационная категория"/>
    <hyperlink ref="B494:D494" location="'общие сведения'!C68" tooltip="Щелкните, чтобы перейти по ссылке" display="Председатель экспертной группы"/>
    <hyperlink ref="E495" location="'общие сведения'!C70" tooltip="Щелкните, чтобы перейти по ссылке" display="1)"/>
    <hyperlink ref="E496" location="'общие сведения'!C72" tooltip="Щелкните, чтобы перейти по ссылке" display="2)"/>
    <hyperlink ref="B495:D495" location="'общие сведения'!F66" tooltip="Щелкните, чтобы перейти по ссылке" display="Члены экспертной группы:"/>
    <hyperlink ref="B486:D486" location="'общие сведения'!C19" tooltip="Щелкните, чтобы перейти по ссылке" display="Фамилия, имя, отчество "/>
    <hyperlink ref="B497:E497" location="_vsego" tooltip="Щелкните, чтобы перейти по ссылке" display="Всего набрано аттестуемым (cумма баллов)"/>
    <hyperlink ref="B1" location="'общие сведения'!A1" display="Перейти на лист &quot;общие сведения&quot;"/>
    <hyperlink ref="F1" location="Всего" display="в конец ЭЗ"/>
    <hyperlink ref="B1:E1" location="'общие сведения'!A1" tooltip="Щелкните, чтобы перейти по ссылке" display="Перейти на лист &quot;общие сведения&quot;"/>
    <hyperlink ref="F1:I1" location="_vsego" tooltip="Щелкните, чтобы перейти по ссылке" display="в конец ЭЗ"/>
  </hyperlinks>
  <printOptions/>
  <pageMargins left="0.4724409448818898" right="0.2362204724409449" top="0.5118110236220472" bottom="0.5118110236220472" header="0.5118110236220472" footer="0.2755905511811024"/>
  <pageSetup fitToHeight="0" horizontalDpi="600" verticalDpi="600" orientation="portrait" paperSize="9" scale="99" r:id="rId4"/>
  <rowBreaks count="7" manualBreakCount="7">
    <brk id="100" max="8" man="1"/>
    <brk id="140" max="8" man="1"/>
    <brk id="195" max="8" man="1"/>
    <brk id="237" max="8" man="1"/>
    <brk id="300" max="8" man="1"/>
    <brk id="357" max="8" man="1"/>
    <brk id="407" max="8" man="1"/>
  </rowBreaks>
  <ignoredErrors>
    <ignoredError sqref="E305" numberStoredAsText="1"/>
    <ignoredError sqref="F305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0"/>
  <sheetViews>
    <sheetView showGridLines="0" showRowColHeaders="0" showOutlineSymbols="0" zoomScaleSheetLayoutView="100" workbookViewId="0" topLeftCell="A1">
      <selection activeCell="G1" sqref="G1"/>
    </sheetView>
  </sheetViews>
  <sheetFormatPr defaultColWidth="9.00390625" defaultRowHeight="12.75"/>
  <cols>
    <col min="1" max="1" width="5.00390625" style="7" customWidth="1"/>
    <col min="2" max="2" width="10.875" style="150" customWidth="1"/>
    <col min="3" max="3" width="13.375" style="150" customWidth="1"/>
    <col min="4" max="4" width="12.625" style="151" customWidth="1"/>
    <col min="5" max="5" width="10.00390625" style="151" customWidth="1"/>
    <col min="6" max="7" width="11.875" style="151" customWidth="1"/>
    <col min="8" max="8" width="11.25390625" style="151" customWidth="1"/>
    <col min="9" max="9" width="11.00390625" style="151" customWidth="1"/>
    <col min="10" max="10" width="0.74609375" style="3" hidden="1" customWidth="1"/>
    <col min="11" max="11" width="13.75390625" style="153" hidden="1" customWidth="1"/>
    <col min="12" max="12" width="5.75390625" style="153" hidden="1" customWidth="1"/>
    <col min="13" max="13" width="5.625" style="153" hidden="1" customWidth="1"/>
    <col min="14" max="14" width="11.625" style="71" hidden="1" customWidth="1"/>
    <col min="15" max="15" width="4.25390625" style="3" hidden="1" customWidth="1"/>
    <col min="16" max="16" width="13.00390625" style="3" hidden="1" customWidth="1"/>
    <col min="17" max="17" width="13.875" style="3" hidden="1" customWidth="1"/>
    <col min="18" max="18" width="1.37890625" style="299" hidden="1" customWidth="1"/>
    <col min="19" max="19" width="0.6171875" style="3" customWidth="1"/>
    <col min="20" max="16384" width="9.125" style="3" customWidth="1"/>
  </cols>
  <sheetData>
    <row r="1" spans="1:57" s="384" customFormat="1" ht="15.75">
      <c r="A1" s="382"/>
      <c r="B1" s="911" t="s">
        <v>520</v>
      </c>
      <c r="C1" s="911"/>
      <c r="D1" s="911"/>
      <c r="E1" s="911"/>
      <c r="F1"/>
      <c r="G1"/>
      <c r="H1"/>
      <c r="I1"/>
      <c r="J1" s="355"/>
      <c r="K1" s="247"/>
      <c r="L1" s="324" t="s">
        <v>248</v>
      </c>
      <c r="M1" s="153"/>
      <c r="N1" s="248"/>
      <c r="O1" s="249"/>
      <c r="P1"/>
      <c r="Q1"/>
      <c r="R1"/>
      <c r="S1" s="385" t="str">
        <f>версия</f>
        <v>  ЭЗ - 2018 г.</v>
      </c>
      <c r="T1" t="s">
        <v>629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386"/>
      <c r="AM1" s="386"/>
      <c r="AN1" s="383"/>
      <c r="AO1" s="383"/>
      <c r="AP1" s="383"/>
      <c r="AQ1" s="383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</row>
    <row r="2" spans="1:57" s="384" customFormat="1" ht="15.75" hidden="1">
      <c r="A2" s="382"/>
      <c r="B2" s="382"/>
      <c r="C2" s="386"/>
      <c r="D2" s="386"/>
      <c r="E2" s="386"/>
      <c r="F2" s="386"/>
      <c r="G2" s="386"/>
      <c r="H2"/>
      <c r="I2"/>
      <c r="J2" s="355"/>
      <c r="K2" s="421" t="s">
        <v>178</v>
      </c>
      <c r="L2" s="420"/>
      <c r="M2" s="421" t="s">
        <v>181</v>
      </c>
      <c r="N2" s="420"/>
      <c r="O2" s="422">
        <f>LEN(M2)</f>
        <v>11</v>
      </c>
      <c r="P2"/>
      <c r="Q2"/>
      <c r="R2"/>
      <c r="S2" s="38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386"/>
      <c r="AM2" s="386"/>
      <c r="AN2" s="383"/>
      <c r="AO2" s="383"/>
      <c r="AP2" s="383"/>
      <c r="AQ2" s="383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</row>
    <row r="3" spans="1:57" s="384" customFormat="1" ht="15.75" hidden="1">
      <c r="A3" s="382"/>
      <c r="B3" s="382"/>
      <c r="C3" s="386"/>
      <c r="D3" s="386"/>
      <c r="E3" s="386"/>
      <c r="F3" s="386"/>
      <c r="G3" s="386"/>
      <c r="H3"/>
      <c r="I3"/>
      <c r="J3" s="355"/>
      <c r="K3" s="421" t="s">
        <v>193</v>
      </c>
      <c r="L3" s="420"/>
      <c r="M3" s="421" t="s">
        <v>196</v>
      </c>
      <c r="N3" s="420"/>
      <c r="O3" s="422">
        <f aca="true" t="shared" si="0" ref="O3:O31">LEN(M3)</f>
        <v>15</v>
      </c>
      <c r="P3"/>
      <c r="Q3"/>
      <c r="R3"/>
      <c r="S3" s="387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386"/>
      <c r="AM3" s="386"/>
      <c r="AN3" s="383"/>
      <c r="AO3" s="383"/>
      <c r="AP3" s="383"/>
      <c r="AQ3" s="383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</row>
    <row r="4" spans="1:57" s="384" customFormat="1" ht="15.75" hidden="1">
      <c r="A4" s="382"/>
      <c r="B4" s="382"/>
      <c r="C4" s="386"/>
      <c r="D4" s="386"/>
      <c r="E4" s="386"/>
      <c r="F4" s="386"/>
      <c r="G4" s="386"/>
      <c r="H4"/>
      <c r="I4"/>
      <c r="J4" s="355"/>
      <c r="K4" s="421" t="s">
        <v>180</v>
      </c>
      <c r="L4" s="420"/>
      <c r="M4" s="421" t="s">
        <v>182</v>
      </c>
      <c r="N4" s="420"/>
      <c r="O4" s="422">
        <f t="shared" si="0"/>
        <v>11</v>
      </c>
      <c r="P4"/>
      <c r="Q4"/>
      <c r="R4"/>
      <c r="S4" s="387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 s="386"/>
      <c r="AM4" s="386"/>
      <c r="AN4" s="383"/>
      <c r="AO4" s="383"/>
      <c r="AP4" s="383"/>
      <c r="AQ4" s="383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</row>
    <row r="5" spans="1:57" s="384" customFormat="1" ht="15.75" hidden="1">
      <c r="A5" s="382"/>
      <c r="B5" s="382"/>
      <c r="C5" s="386"/>
      <c r="D5" s="386"/>
      <c r="E5" s="386"/>
      <c r="F5" s="386"/>
      <c r="G5" s="386"/>
      <c r="H5"/>
      <c r="I5"/>
      <c r="J5" s="355"/>
      <c r="K5" s="421" t="s">
        <v>199</v>
      </c>
      <c r="L5" s="420"/>
      <c r="M5" s="421" t="s">
        <v>38</v>
      </c>
      <c r="N5" s="420"/>
      <c r="O5" s="422">
        <f t="shared" si="0"/>
        <v>20</v>
      </c>
      <c r="P5"/>
      <c r="Q5"/>
      <c r="R5"/>
      <c r="S5" s="38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 s="386"/>
      <c r="AM5" s="386"/>
      <c r="AN5" s="383"/>
      <c r="AO5" s="383"/>
      <c r="AP5" s="383"/>
      <c r="AQ5" s="383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82"/>
      <c r="BE5" s="382"/>
    </row>
    <row r="6" spans="1:57" s="384" customFormat="1" ht="15.75" hidden="1">
      <c r="A6" s="382"/>
      <c r="B6" s="382"/>
      <c r="C6" s="386"/>
      <c r="D6" s="386"/>
      <c r="E6" s="386"/>
      <c r="F6" s="386"/>
      <c r="G6" s="386"/>
      <c r="H6"/>
      <c r="I6"/>
      <c r="J6" s="355"/>
      <c r="K6" s="421" t="s">
        <v>200</v>
      </c>
      <c r="L6" s="420"/>
      <c r="M6" s="421" t="s">
        <v>39</v>
      </c>
      <c r="N6" s="420"/>
      <c r="O6" s="422">
        <f t="shared" si="0"/>
        <v>28</v>
      </c>
      <c r="P6"/>
      <c r="Q6"/>
      <c r="R6"/>
      <c r="S6" s="387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 s="386"/>
      <c r="AM6" s="386"/>
      <c r="AN6" s="383"/>
      <c r="AO6" s="383"/>
      <c r="AP6" s="383"/>
      <c r="AQ6" s="383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</row>
    <row r="7" spans="1:57" s="384" customFormat="1" ht="15.75" hidden="1">
      <c r="A7" s="382"/>
      <c r="B7" s="382"/>
      <c r="C7" s="386"/>
      <c r="D7" s="386"/>
      <c r="E7" s="386"/>
      <c r="F7" s="386"/>
      <c r="G7" s="386"/>
      <c r="H7"/>
      <c r="I7"/>
      <c r="J7" s="355"/>
      <c r="K7" s="421" t="s">
        <v>36</v>
      </c>
      <c r="L7" s="420"/>
      <c r="M7" s="421" t="s">
        <v>40</v>
      </c>
      <c r="N7" s="420"/>
      <c r="O7" s="422">
        <f t="shared" si="0"/>
        <v>29</v>
      </c>
      <c r="P7"/>
      <c r="Q7"/>
      <c r="R7"/>
      <c r="S7" s="38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 s="386"/>
      <c r="AM7" s="386"/>
      <c r="AN7" s="383"/>
      <c r="AO7" s="383"/>
      <c r="AP7" s="383"/>
      <c r="AQ7" s="383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</row>
    <row r="8" spans="1:57" s="384" customFormat="1" ht="15.75" hidden="1">
      <c r="A8" s="382"/>
      <c r="B8" s="382"/>
      <c r="C8" s="386"/>
      <c r="D8" s="386"/>
      <c r="E8" s="386"/>
      <c r="F8" s="386"/>
      <c r="G8" s="386"/>
      <c r="H8"/>
      <c r="I8"/>
      <c r="J8" s="355"/>
      <c r="K8" s="421" t="s">
        <v>201</v>
      </c>
      <c r="L8" s="420"/>
      <c r="M8" s="421" t="s">
        <v>41</v>
      </c>
      <c r="N8" s="420"/>
      <c r="O8" s="422">
        <f t="shared" si="0"/>
        <v>21</v>
      </c>
      <c r="P8"/>
      <c r="Q8"/>
      <c r="R8"/>
      <c r="S8" s="38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 s="386"/>
      <c r="AM8" s="386"/>
      <c r="AN8" s="383"/>
      <c r="AO8" s="383"/>
      <c r="AP8" s="383"/>
      <c r="AQ8" s="383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</row>
    <row r="9" spans="1:57" s="384" customFormat="1" ht="15.75" hidden="1">
      <c r="A9" s="382"/>
      <c r="B9" s="382"/>
      <c r="C9" s="386"/>
      <c r="D9" s="386"/>
      <c r="E9" s="386"/>
      <c r="F9" s="386"/>
      <c r="G9" s="386"/>
      <c r="H9"/>
      <c r="I9"/>
      <c r="J9" s="355"/>
      <c r="K9" s="421" t="s">
        <v>202</v>
      </c>
      <c r="L9" s="420"/>
      <c r="M9" s="421" t="s">
        <v>42</v>
      </c>
      <c r="N9" s="420"/>
      <c r="O9" s="422">
        <f t="shared" si="0"/>
        <v>15</v>
      </c>
      <c r="P9"/>
      <c r="Q9"/>
      <c r="R9"/>
      <c r="S9" s="387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 s="386"/>
      <c r="AM9" s="386"/>
      <c r="AN9" s="383"/>
      <c r="AO9" s="383"/>
      <c r="AP9" s="383"/>
      <c r="AQ9" s="383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</row>
    <row r="10" spans="1:57" s="384" customFormat="1" ht="15.75" hidden="1">
      <c r="A10" s="382"/>
      <c r="B10" s="382"/>
      <c r="C10" s="386"/>
      <c r="D10" s="386"/>
      <c r="E10" s="386"/>
      <c r="F10" s="386"/>
      <c r="G10" s="386"/>
      <c r="H10"/>
      <c r="I10"/>
      <c r="J10" s="355"/>
      <c r="K10" s="421" t="s">
        <v>189</v>
      </c>
      <c r="L10" s="420"/>
      <c r="M10" s="421" t="s">
        <v>190</v>
      </c>
      <c r="N10" s="420"/>
      <c r="O10" s="422">
        <f t="shared" si="0"/>
        <v>8</v>
      </c>
      <c r="P10"/>
      <c r="Q10"/>
      <c r="R10"/>
      <c r="S10" s="38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 s="386"/>
      <c r="AM10" s="386"/>
      <c r="AN10" s="383"/>
      <c r="AO10" s="383"/>
      <c r="AP10" s="383"/>
      <c r="AQ10" s="383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</row>
    <row r="11" spans="1:57" s="384" customFormat="1" ht="15.75" hidden="1">
      <c r="A11" s="382"/>
      <c r="B11" s="382"/>
      <c r="C11" s="386"/>
      <c r="D11" s="386"/>
      <c r="E11" s="386"/>
      <c r="F11" s="386"/>
      <c r="G11" s="386"/>
      <c r="H11"/>
      <c r="I11"/>
      <c r="J11" s="355"/>
      <c r="K11" s="421" t="s">
        <v>37</v>
      </c>
      <c r="L11" s="420"/>
      <c r="M11" s="421" t="s">
        <v>43</v>
      </c>
      <c r="N11" s="420"/>
      <c r="O11" s="422">
        <f t="shared" si="0"/>
        <v>13</v>
      </c>
      <c r="P11"/>
      <c r="Q11"/>
      <c r="R11"/>
      <c r="S11" s="38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 s="386"/>
      <c r="AM11" s="386"/>
      <c r="AN11" s="383"/>
      <c r="AO11" s="383"/>
      <c r="AP11" s="383"/>
      <c r="AQ11" s="383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</row>
    <row r="12" spans="1:57" s="384" customFormat="1" ht="15.75" hidden="1">
      <c r="A12" s="382"/>
      <c r="B12" s="382"/>
      <c r="C12" s="386"/>
      <c r="D12" s="386"/>
      <c r="E12" s="386"/>
      <c r="F12" s="386"/>
      <c r="G12" s="386"/>
      <c r="H12"/>
      <c r="I12"/>
      <c r="J12" s="355"/>
      <c r="K12" s="421" t="s">
        <v>209</v>
      </c>
      <c r="L12" s="420"/>
      <c r="M12" s="421" t="s">
        <v>44</v>
      </c>
      <c r="N12" s="420"/>
      <c r="O12" s="422">
        <f t="shared" si="0"/>
        <v>9</v>
      </c>
      <c r="P12"/>
      <c r="Q12"/>
      <c r="R12"/>
      <c r="S12" s="387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 s="386"/>
      <c r="AM12" s="386"/>
      <c r="AN12" s="383"/>
      <c r="AO12" s="383"/>
      <c r="AP12" s="383"/>
      <c r="AQ12" s="383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</row>
    <row r="13" spans="1:57" s="384" customFormat="1" ht="15.75" hidden="1">
      <c r="A13" s="382"/>
      <c r="B13" s="382"/>
      <c r="C13" s="386"/>
      <c r="D13" s="386"/>
      <c r="E13" s="386"/>
      <c r="F13" s="386"/>
      <c r="G13" s="386"/>
      <c r="H13"/>
      <c r="I13"/>
      <c r="J13" s="355"/>
      <c r="K13" s="421" t="s">
        <v>203</v>
      </c>
      <c r="L13" s="420"/>
      <c r="M13" s="421" t="s">
        <v>45</v>
      </c>
      <c r="N13" s="420"/>
      <c r="O13" s="422">
        <f t="shared" si="0"/>
        <v>25</v>
      </c>
      <c r="P13"/>
      <c r="Q13"/>
      <c r="R13"/>
      <c r="S13" s="38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386"/>
      <c r="AM13" s="386"/>
      <c r="AN13" s="383"/>
      <c r="AO13" s="383"/>
      <c r="AP13" s="383"/>
      <c r="AQ13" s="383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</row>
    <row r="14" spans="1:57" s="384" customFormat="1" ht="15.75" hidden="1">
      <c r="A14" s="382"/>
      <c r="B14" s="382"/>
      <c r="C14" s="386"/>
      <c r="D14" s="386"/>
      <c r="E14" s="386"/>
      <c r="F14" s="386"/>
      <c r="G14" s="386"/>
      <c r="H14"/>
      <c r="I14"/>
      <c r="J14" s="355"/>
      <c r="K14" s="421" t="s">
        <v>194</v>
      </c>
      <c r="L14" s="420"/>
      <c r="M14" s="421" t="s">
        <v>195</v>
      </c>
      <c r="N14" s="420"/>
      <c r="O14" s="422">
        <f t="shared" si="0"/>
        <v>8</v>
      </c>
      <c r="P14"/>
      <c r="Q14"/>
      <c r="R14"/>
      <c r="S14" s="387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 s="386"/>
      <c r="AM14" s="386"/>
      <c r="AN14" s="383"/>
      <c r="AO14" s="383"/>
      <c r="AP14" s="383"/>
      <c r="AQ14" s="383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</row>
    <row r="15" spans="1:57" s="384" customFormat="1" ht="15.75" hidden="1">
      <c r="A15" s="382"/>
      <c r="B15" s="382"/>
      <c r="C15" s="386"/>
      <c r="D15" s="386"/>
      <c r="E15" s="386"/>
      <c r="F15" s="386"/>
      <c r="G15" s="386"/>
      <c r="H15"/>
      <c r="I15"/>
      <c r="J15" s="355"/>
      <c r="K15" s="421" t="s">
        <v>204</v>
      </c>
      <c r="L15" s="420"/>
      <c r="M15" s="421" t="s">
        <v>282</v>
      </c>
      <c r="N15" s="420"/>
      <c r="O15" s="422">
        <f t="shared" si="0"/>
        <v>36</v>
      </c>
      <c r="P15"/>
      <c r="Q15"/>
      <c r="R15"/>
      <c r="S15" s="387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 s="386"/>
      <c r="AM15" s="386"/>
      <c r="AN15" s="383"/>
      <c r="AO15" s="383"/>
      <c r="AP15" s="383"/>
      <c r="AQ15" s="383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</row>
    <row r="16" spans="1:57" s="384" customFormat="1" ht="15.75" hidden="1">
      <c r="A16" s="382"/>
      <c r="B16" s="382"/>
      <c r="C16" s="386"/>
      <c r="D16" s="386"/>
      <c r="E16" s="386"/>
      <c r="F16" s="386"/>
      <c r="G16" s="386"/>
      <c r="H16"/>
      <c r="I16"/>
      <c r="J16" s="355"/>
      <c r="K16" s="421" t="s">
        <v>205</v>
      </c>
      <c r="L16" s="420"/>
      <c r="M16" s="421" t="s">
        <v>46</v>
      </c>
      <c r="N16" s="420"/>
      <c r="O16" s="422">
        <f t="shared" si="0"/>
        <v>21</v>
      </c>
      <c r="P16"/>
      <c r="Q16"/>
      <c r="R16"/>
      <c r="S16" s="387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386"/>
      <c r="AM16" s="386"/>
      <c r="AN16" s="383"/>
      <c r="AO16" s="383"/>
      <c r="AP16" s="383"/>
      <c r="AQ16" s="383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</row>
    <row r="17" spans="1:57" s="384" customFormat="1" ht="15.75" hidden="1">
      <c r="A17" s="382"/>
      <c r="B17" s="382"/>
      <c r="C17" s="386"/>
      <c r="D17" s="386"/>
      <c r="E17" s="386"/>
      <c r="F17" s="386"/>
      <c r="G17" s="386"/>
      <c r="H17"/>
      <c r="I17"/>
      <c r="J17" s="355"/>
      <c r="K17" s="421" t="s">
        <v>206</v>
      </c>
      <c r="L17" s="420"/>
      <c r="M17" s="421" t="s">
        <v>48</v>
      </c>
      <c r="N17" s="420"/>
      <c r="O17" s="422">
        <f t="shared" si="0"/>
        <v>18</v>
      </c>
      <c r="P17"/>
      <c r="Q17"/>
      <c r="R17"/>
      <c r="S17" s="38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 s="386"/>
      <c r="AM17" s="386"/>
      <c r="AN17" s="383"/>
      <c r="AO17" s="383"/>
      <c r="AP17" s="383"/>
      <c r="AQ17" s="383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</row>
    <row r="18" spans="1:57" s="384" customFormat="1" ht="15.75" hidden="1">
      <c r="A18" s="382"/>
      <c r="B18" s="382"/>
      <c r="C18" s="386"/>
      <c r="D18" s="386"/>
      <c r="E18" s="386"/>
      <c r="F18" s="386"/>
      <c r="G18" s="386"/>
      <c r="H18"/>
      <c r="I18"/>
      <c r="J18" s="355"/>
      <c r="K18" s="421" t="s">
        <v>185</v>
      </c>
      <c r="L18" s="420"/>
      <c r="M18" s="421" t="s">
        <v>186</v>
      </c>
      <c r="N18" s="420"/>
      <c r="O18" s="422">
        <f t="shared" si="0"/>
        <v>13</v>
      </c>
      <c r="P18"/>
      <c r="Q18"/>
      <c r="R18"/>
      <c r="S18" s="38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 s="386"/>
      <c r="AM18" s="386"/>
      <c r="AN18" s="383"/>
      <c r="AO18" s="383"/>
      <c r="AP18" s="383"/>
      <c r="AQ18" s="383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</row>
    <row r="19" spans="1:57" s="384" customFormat="1" ht="15.75" hidden="1">
      <c r="A19" s="382"/>
      <c r="B19" s="382"/>
      <c r="C19" s="386"/>
      <c r="D19" s="386"/>
      <c r="E19" s="386"/>
      <c r="F19" s="386"/>
      <c r="G19" s="386"/>
      <c r="H19"/>
      <c r="I19"/>
      <c r="J19" s="355"/>
      <c r="K19" s="421" t="s">
        <v>211</v>
      </c>
      <c r="L19" s="420"/>
      <c r="M19" s="421" t="s">
        <v>212</v>
      </c>
      <c r="N19" s="420"/>
      <c r="O19" s="422">
        <f t="shared" si="0"/>
        <v>27</v>
      </c>
      <c r="P19"/>
      <c r="Q19"/>
      <c r="R19"/>
      <c r="S19" s="387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386"/>
      <c r="AM19" s="386"/>
      <c r="AN19" s="383"/>
      <c r="AO19" s="383"/>
      <c r="AP19" s="383"/>
      <c r="AQ19" s="383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</row>
    <row r="20" spans="1:57" s="384" customFormat="1" ht="15.75" hidden="1">
      <c r="A20" s="382"/>
      <c r="B20" s="382"/>
      <c r="C20" s="386"/>
      <c r="D20" s="386"/>
      <c r="E20" s="386"/>
      <c r="F20" s="386"/>
      <c r="G20" s="386"/>
      <c r="H20"/>
      <c r="I20"/>
      <c r="J20" s="355"/>
      <c r="K20" s="421" t="s">
        <v>191</v>
      </c>
      <c r="L20" s="420"/>
      <c r="M20" s="421" t="s">
        <v>192</v>
      </c>
      <c r="N20" s="420"/>
      <c r="O20" s="422">
        <f t="shared" si="0"/>
        <v>9</v>
      </c>
      <c r="P20"/>
      <c r="Q20"/>
      <c r="R20"/>
      <c r="S20" s="387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386"/>
      <c r="AM20" s="386"/>
      <c r="AN20" s="383"/>
      <c r="AO20" s="383"/>
      <c r="AP20" s="383"/>
      <c r="AQ20" s="383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</row>
    <row r="21" spans="1:57" s="384" customFormat="1" ht="15.75" hidden="1">
      <c r="A21" s="382"/>
      <c r="B21" s="382"/>
      <c r="C21" s="386"/>
      <c r="D21" s="386"/>
      <c r="E21" s="386"/>
      <c r="F21" s="386"/>
      <c r="G21" s="386"/>
      <c r="H21"/>
      <c r="I21"/>
      <c r="J21" s="355"/>
      <c r="K21" s="421" t="s">
        <v>197</v>
      </c>
      <c r="L21" s="420"/>
      <c r="M21" s="421" t="s">
        <v>198</v>
      </c>
      <c r="N21" s="420"/>
      <c r="O21" s="422">
        <f t="shared" si="0"/>
        <v>28</v>
      </c>
      <c r="P21"/>
      <c r="Q21"/>
      <c r="R21"/>
      <c r="S21" s="387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 s="386"/>
      <c r="AM21" s="386"/>
      <c r="AN21" s="383"/>
      <c r="AO21" s="383"/>
      <c r="AP21" s="383"/>
      <c r="AQ21" s="383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</row>
    <row r="22" spans="1:57" s="384" customFormat="1" ht="15.75" hidden="1">
      <c r="A22" s="382"/>
      <c r="B22" s="382"/>
      <c r="C22" s="386"/>
      <c r="D22" s="386"/>
      <c r="E22" s="386"/>
      <c r="F22" s="386"/>
      <c r="G22" s="386"/>
      <c r="H22"/>
      <c r="I22"/>
      <c r="J22" s="355"/>
      <c r="K22" s="421" t="s">
        <v>187</v>
      </c>
      <c r="L22" s="420"/>
      <c r="M22" s="421" t="s">
        <v>188</v>
      </c>
      <c r="N22" s="420"/>
      <c r="O22" s="422">
        <f t="shared" si="0"/>
        <v>20</v>
      </c>
      <c r="P22"/>
      <c r="Q22"/>
      <c r="R22"/>
      <c r="S22" s="387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386"/>
      <c r="AM22" s="386"/>
      <c r="AN22" s="383"/>
      <c r="AO22" s="383"/>
      <c r="AP22" s="383"/>
      <c r="AQ22" s="383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</row>
    <row r="23" spans="1:57" s="384" customFormat="1" ht="15.75" hidden="1">
      <c r="A23" s="382"/>
      <c r="B23" s="382"/>
      <c r="C23" s="386"/>
      <c r="D23" s="386"/>
      <c r="E23" s="386"/>
      <c r="F23" s="386"/>
      <c r="G23" s="386"/>
      <c r="H23"/>
      <c r="I23"/>
      <c r="J23" s="355"/>
      <c r="K23" s="421" t="s">
        <v>179</v>
      </c>
      <c r="L23" s="420"/>
      <c r="M23" s="421" t="s">
        <v>183</v>
      </c>
      <c r="N23" s="420"/>
      <c r="O23" s="422">
        <f t="shared" si="0"/>
        <v>20</v>
      </c>
      <c r="P23"/>
      <c r="Q23"/>
      <c r="R23"/>
      <c r="S23" s="38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 s="386"/>
      <c r="AM23" s="386"/>
      <c r="AN23" s="383"/>
      <c r="AO23" s="383"/>
      <c r="AP23" s="383"/>
      <c r="AQ23" s="383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</row>
    <row r="24" spans="1:57" s="384" customFormat="1" ht="15.75" hidden="1">
      <c r="A24" s="382"/>
      <c r="B24" s="382"/>
      <c r="C24" s="386"/>
      <c r="D24" s="386"/>
      <c r="E24" s="386"/>
      <c r="F24" s="386"/>
      <c r="G24" s="386"/>
      <c r="H24"/>
      <c r="I24"/>
      <c r="J24" s="355"/>
      <c r="K24" s="421" t="s">
        <v>34</v>
      </c>
      <c r="L24" s="420"/>
      <c r="M24" s="421" t="s">
        <v>49</v>
      </c>
      <c r="N24" s="420"/>
      <c r="O24" s="422">
        <f t="shared" si="0"/>
        <v>7</v>
      </c>
      <c r="P24"/>
      <c r="Q24"/>
      <c r="R24"/>
      <c r="S24" s="387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 s="386"/>
      <c r="AM24" s="386"/>
      <c r="AN24" s="383"/>
      <c r="AO24" s="383"/>
      <c r="AP24" s="383"/>
      <c r="AQ24" s="383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</row>
    <row r="25" spans="1:57" s="384" customFormat="1" ht="15.75" hidden="1">
      <c r="A25" s="382"/>
      <c r="B25" s="382"/>
      <c r="C25" s="386"/>
      <c r="D25" s="386"/>
      <c r="E25" s="386"/>
      <c r="F25" s="386"/>
      <c r="G25" s="386"/>
      <c r="H25"/>
      <c r="I25"/>
      <c r="J25" s="355"/>
      <c r="K25" s="421" t="s">
        <v>207</v>
      </c>
      <c r="L25" s="420"/>
      <c r="M25" s="421" t="s">
        <v>50</v>
      </c>
      <c r="N25" s="420"/>
      <c r="O25" s="422">
        <f t="shared" si="0"/>
        <v>21</v>
      </c>
      <c r="P25"/>
      <c r="Q25"/>
      <c r="R25"/>
      <c r="S25" s="387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386"/>
      <c r="AM25" s="386"/>
      <c r="AN25" s="383"/>
      <c r="AO25" s="383"/>
      <c r="AP25" s="383"/>
      <c r="AQ25" s="383"/>
      <c r="AR25" s="382"/>
      <c r="AS25" s="382"/>
      <c r="AT25" s="382"/>
      <c r="AU25" s="382"/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</row>
    <row r="26" spans="1:57" s="384" customFormat="1" ht="15.75" hidden="1">
      <c r="A26" s="382"/>
      <c r="B26" s="382"/>
      <c r="C26" s="386"/>
      <c r="D26" s="386"/>
      <c r="E26" s="386"/>
      <c r="F26" s="386"/>
      <c r="G26" s="386"/>
      <c r="H26"/>
      <c r="I26"/>
      <c r="J26" s="355"/>
      <c r="K26" s="421" t="s">
        <v>177</v>
      </c>
      <c r="L26" s="420"/>
      <c r="M26" s="421" t="s">
        <v>184</v>
      </c>
      <c r="N26" s="420"/>
      <c r="O26" s="422">
        <f t="shared" si="0"/>
        <v>7</v>
      </c>
      <c r="P26"/>
      <c r="Q26"/>
      <c r="R26"/>
      <c r="S26" s="387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 s="386"/>
      <c r="AM26" s="386"/>
      <c r="AN26" s="383"/>
      <c r="AO26" s="383"/>
      <c r="AP26" s="383"/>
      <c r="AQ26" s="383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</row>
    <row r="27" spans="1:57" s="384" customFormat="1" ht="15.75" hidden="1">
      <c r="A27" s="382"/>
      <c r="B27" s="382"/>
      <c r="C27" s="386"/>
      <c r="D27" s="386"/>
      <c r="E27" s="386"/>
      <c r="F27" s="386"/>
      <c r="G27" s="386"/>
      <c r="H27"/>
      <c r="I27"/>
      <c r="J27" s="355"/>
      <c r="K27" s="421" t="s">
        <v>35</v>
      </c>
      <c r="L27" s="420"/>
      <c r="M27" s="421" t="s">
        <v>51</v>
      </c>
      <c r="N27" s="420"/>
      <c r="O27" s="422">
        <f t="shared" si="0"/>
        <v>19</v>
      </c>
      <c r="P27"/>
      <c r="Q27"/>
      <c r="R27"/>
      <c r="S27" s="38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 s="386"/>
      <c r="AM27" s="386"/>
      <c r="AN27" s="383"/>
      <c r="AO27" s="383"/>
      <c r="AP27" s="383"/>
      <c r="AQ27" s="383"/>
      <c r="AR27" s="382"/>
      <c r="AS27" s="382"/>
      <c r="AT27" s="382"/>
      <c r="AU27" s="382"/>
      <c r="AV27" s="382"/>
      <c r="AW27" s="382"/>
      <c r="AX27" s="382"/>
      <c r="AY27" s="382"/>
      <c r="AZ27" s="382"/>
      <c r="BA27" s="382"/>
      <c r="BB27" s="382"/>
      <c r="BC27" s="382"/>
      <c r="BD27" s="382"/>
      <c r="BE27" s="382"/>
    </row>
    <row r="28" spans="1:57" s="384" customFormat="1" ht="15.75" hidden="1">
      <c r="A28" s="382"/>
      <c r="B28" s="382"/>
      <c r="C28" s="386"/>
      <c r="D28" s="386"/>
      <c r="E28" s="386"/>
      <c r="F28" s="386"/>
      <c r="G28" s="386"/>
      <c r="H28"/>
      <c r="I28"/>
      <c r="J28" s="355"/>
      <c r="K28" s="421" t="s">
        <v>208</v>
      </c>
      <c r="L28" s="420"/>
      <c r="M28" s="421" t="s">
        <v>52</v>
      </c>
      <c r="N28" s="420"/>
      <c r="O28" s="422">
        <f t="shared" si="0"/>
        <v>16</v>
      </c>
      <c r="P28"/>
      <c r="Q28"/>
      <c r="R28"/>
      <c r="S28" s="387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386"/>
      <c r="AM28" s="386"/>
      <c r="AN28" s="383"/>
      <c r="AO28" s="383"/>
      <c r="AP28" s="383"/>
      <c r="AQ28" s="383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</row>
    <row r="29" spans="1:57" s="384" customFormat="1" ht="15.75" hidden="1">
      <c r="A29" s="382"/>
      <c r="B29" s="382"/>
      <c r="C29" s="386"/>
      <c r="D29" s="386"/>
      <c r="E29" s="386"/>
      <c r="F29" s="386"/>
      <c r="G29" s="386"/>
      <c r="H29"/>
      <c r="I29"/>
      <c r="J29" s="355"/>
      <c r="K29" s="421"/>
      <c r="L29" s="420"/>
      <c r="M29" s="421"/>
      <c r="N29" s="420"/>
      <c r="O29" s="422">
        <f t="shared" si="0"/>
        <v>0</v>
      </c>
      <c r="P29"/>
      <c r="Q29"/>
      <c r="R29"/>
      <c r="S29" s="387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 s="386"/>
      <c r="AM29" s="386"/>
      <c r="AN29" s="383"/>
      <c r="AO29" s="383"/>
      <c r="AP29" s="383"/>
      <c r="AQ29" s="383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</row>
    <row r="30" spans="1:57" s="384" customFormat="1" ht="15.75" hidden="1">
      <c r="A30" s="382"/>
      <c r="B30" s="382"/>
      <c r="C30" s="386"/>
      <c r="D30" s="386"/>
      <c r="E30" s="386"/>
      <c r="F30" s="386"/>
      <c r="G30" s="386"/>
      <c r="H30"/>
      <c r="I30"/>
      <c r="J30" s="355"/>
      <c r="K30" s="421"/>
      <c r="L30" s="420"/>
      <c r="M30" s="421"/>
      <c r="N30" s="420"/>
      <c r="O30" s="422">
        <f t="shared" si="0"/>
        <v>0</v>
      </c>
      <c r="P30"/>
      <c r="Q30"/>
      <c r="R30"/>
      <c r="S30" s="387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 s="386"/>
      <c r="AM30" s="386"/>
      <c r="AN30" s="383"/>
      <c r="AO30" s="383"/>
      <c r="AP30" s="383"/>
      <c r="AQ30" s="383"/>
      <c r="AR30" s="382"/>
      <c r="AS30" s="382"/>
      <c r="AT30" s="382"/>
      <c r="AU30" s="382"/>
      <c r="AV30" s="382"/>
      <c r="AW30" s="382"/>
      <c r="AX30" s="382"/>
      <c r="AY30" s="382"/>
      <c r="AZ30" s="382"/>
      <c r="BA30" s="382"/>
      <c r="BB30" s="382"/>
      <c r="BC30" s="382"/>
      <c r="BD30" s="382"/>
      <c r="BE30" s="382"/>
    </row>
    <row r="31" spans="1:57" s="384" customFormat="1" ht="15.75" hidden="1">
      <c r="A31" s="382"/>
      <c r="B31" s="382"/>
      <c r="C31" s="386"/>
      <c r="D31" s="386"/>
      <c r="E31" s="386"/>
      <c r="F31" s="386"/>
      <c r="G31" s="386"/>
      <c r="H31"/>
      <c r="I31"/>
      <c r="J31" s="355"/>
      <c r="K31" s="421"/>
      <c r="L31" s="420"/>
      <c r="M31" s="421"/>
      <c r="N31" s="420"/>
      <c r="O31" s="422">
        <f t="shared" si="0"/>
        <v>0</v>
      </c>
      <c r="P31"/>
      <c r="Q31"/>
      <c r="R31"/>
      <c r="S31" s="387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386"/>
      <c r="AM31" s="386"/>
      <c r="AN31" s="383"/>
      <c r="AO31" s="383"/>
      <c r="AP31" s="383"/>
      <c r="AQ31" s="383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</row>
    <row r="32" spans="1:57" s="384" customFormat="1" ht="15.75" hidden="1">
      <c r="A32" s="382"/>
      <c r="B32" s="382"/>
      <c r="C32" s="386"/>
      <c r="D32" s="386"/>
      <c r="E32" s="386"/>
      <c r="F32" s="386"/>
      <c r="G32" s="386"/>
      <c r="H32"/>
      <c r="I32"/>
      <c r="J32" s="355"/>
      <c r="K32" s="423" t="str">
        <f>IF(OR(C45=""),"Ошибка !",VLOOKUP(C45,K2:N25,3))</f>
        <v>Ошибка !</v>
      </c>
      <c r="L32" s="424"/>
      <c r="M32" s="427">
        <f>LEN(K32)</f>
        <v>8</v>
      </c>
      <c r="N32" s="425"/>
      <c r="O32" s="3"/>
      <c r="P32"/>
      <c r="Q32"/>
      <c r="R32"/>
      <c r="S32" s="387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 s="386"/>
      <c r="AM32" s="386"/>
      <c r="AN32" s="383"/>
      <c r="AO32" s="383"/>
      <c r="AP32" s="383"/>
      <c r="AQ32" s="383"/>
      <c r="AR32" s="382"/>
      <c r="AS32" s="382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</row>
    <row r="33" spans="1:57" s="384" customFormat="1" ht="15.75" hidden="1">
      <c r="A33" s="382"/>
      <c r="B33" s="382"/>
      <c r="C33" s="386"/>
      <c r="D33" s="386"/>
      <c r="E33" s="386"/>
      <c r="F33" s="386"/>
      <c r="G33" s="386"/>
      <c r="H33"/>
      <c r="I33"/>
      <c r="J33" s="355"/>
      <c r="K33" s="428">
        <f>IF(ISERR(FIND(LEFT(K32,5),C45)),0,1)</f>
        <v>0</v>
      </c>
      <c r="L33" s="958"/>
      <c r="M33" s="958"/>
      <c r="N33" s="426"/>
      <c r="O33" s="3"/>
      <c r="P33"/>
      <c r="Q33"/>
      <c r="R33"/>
      <c r="S33" s="387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 s="386"/>
      <c r="AM33" s="386"/>
      <c r="AN33" s="383"/>
      <c r="AO33" s="383"/>
      <c r="AP33" s="383"/>
      <c r="AQ33" s="383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</row>
    <row r="34" spans="1:19" ht="15" customHeight="1">
      <c r="A34" s="940" t="str">
        <f>ЭЗ!A34</f>
        <v>ЭКСПЕРТНОЕ ЗАКЛЮЧЕНИЕ</v>
      </c>
      <c r="B34" s="941"/>
      <c r="C34" s="941"/>
      <c r="D34" s="941"/>
      <c r="E34" s="941"/>
      <c r="F34" s="941"/>
      <c r="G34" s="941"/>
      <c r="H34" s="941"/>
      <c r="I34" s="941"/>
      <c r="J34" s="355"/>
      <c r="K34" s="3"/>
      <c r="L34" s="3"/>
      <c r="M34" s="3"/>
      <c r="N34" s="3"/>
      <c r="R34" s="290"/>
      <c r="S34" s="385" t="str">
        <f>'общие сведения'!H11&amp;'общие сведения'!H13</f>
        <v>( педагога дополнительного образования социально-педагогической направленности)</v>
      </c>
    </row>
    <row r="35" spans="1:19" s="336" customFormat="1" ht="3" customHeight="1">
      <c r="A35" s="985"/>
      <c r="B35" s="985"/>
      <c r="C35" s="985"/>
      <c r="D35" s="985"/>
      <c r="E35" s="985"/>
      <c r="F35" s="985"/>
      <c r="G35" s="985"/>
      <c r="H35" s="985"/>
      <c r="I35" s="985"/>
      <c r="J35" s="355"/>
      <c r="R35" s="299"/>
      <c r="S35" s="391"/>
    </row>
    <row r="36" spans="1:19" s="336" customFormat="1" ht="12.75" customHeight="1">
      <c r="A36" s="939" t="str">
        <f>"об уровне квалификации   педагогического работника  
(педагог дополнительного образования "&amp;'общие сведения'!H13&amp;" 
государственных, муниципальных и частных образовательных организаций Московской области"</f>
        <v>об уровне квалификации   педагогического работника  
(педагог дополнительного образования социально-педагогической направленности) 
государственных, муниципальных и частных образовательных организаций Московской области</v>
      </c>
      <c r="B36" s="939"/>
      <c r="C36" s="939"/>
      <c r="D36" s="939"/>
      <c r="E36" s="939"/>
      <c r="F36" s="939"/>
      <c r="G36" s="939"/>
      <c r="H36" s="939"/>
      <c r="I36" s="939"/>
      <c r="J36" s="355"/>
      <c r="K36" s="429" t="s">
        <v>486</v>
      </c>
      <c r="R36" s="299"/>
      <c r="S36" s="391"/>
    </row>
    <row r="37" spans="1:19" s="336" customFormat="1" ht="12.75" customHeight="1">
      <c r="A37" s="939"/>
      <c r="B37" s="939"/>
      <c r="C37" s="939"/>
      <c r="D37" s="939"/>
      <c r="E37" s="939"/>
      <c r="F37" s="939"/>
      <c r="G37" s="939"/>
      <c r="H37" s="939"/>
      <c r="I37" s="939"/>
      <c r="J37" s="355"/>
      <c r="R37" s="299"/>
      <c r="S37" s="391"/>
    </row>
    <row r="38" spans="1:19" s="336" customFormat="1" ht="18.75" customHeight="1">
      <c r="A38" s="939"/>
      <c r="B38" s="939"/>
      <c r="C38" s="939"/>
      <c r="D38" s="939"/>
      <c r="E38" s="939"/>
      <c r="F38" s="939"/>
      <c r="G38" s="939"/>
      <c r="H38" s="939"/>
      <c r="I38" s="939"/>
      <c r="J38" s="355"/>
      <c r="R38" s="299"/>
      <c r="S38" s="391"/>
    </row>
    <row r="39" spans="1:22" s="336" customFormat="1" ht="12.75">
      <c r="A39" s="397" t="s">
        <v>536</v>
      </c>
      <c r="B39" s="398"/>
      <c r="C39" s="398"/>
      <c r="D39" s="398"/>
      <c r="E39" s="398"/>
      <c r="F39" s="398"/>
      <c r="G39" s="398"/>
      <c r="H39" s="75"/>
      <c r="I39" s="75"/>
      <c r="J39" s="355"/>
      <c r="R39" s="299"/>
      <c r="S39" s="391"/>
      <c r="V39" s="3"/>
    </row>
    <row r="40" spans="1:19" s="402" customFormat="1" ht="6.75" customHeight="1">
      <c r="A40" s="399"/>
      <c r="B40" s="400"/>
      <c r="C40" s="400"/>
      <c r="D40" s="401"/>
      <c r="E40" s="401"/>
      <c r="F40" s="401"/>
      <c r="G40" s="401"/>
      <c r="H40" s="401"/>
      <c r="I40" s="401"/>
      <c r="J40" s="355"/>
      <c r="R40" s="293"/>
      <c r="S40" s="403"/>
    </row>
    <row r="41" spans="1:19" s="405" customFormat="1" ht="12.75">
      <c r="A41" s="1049" t="s">
        <v>113</v>
      </c>
      <c r="B41" s="1049"/>
      <c r="C41" s="1049"/>
      <c r="D41" s="942"/>
      <c r="E41" s="942"/>
      <c r="F41" s="942"/>
      <c r="G41" s="942"/>
      <c r="H41" s="942"/>
      <c r="I41" s="942"/>
      <c r="J41" s="355"/>
      <c r="R41" s="406"/>
      <c r="S41" s="407"/>
    </row>
    <row r="42" spans="1:19" s="405" customFormat="1" ht="12.75">
      <c r="A42" s="1050" t="s">
        <v>149</v>
      </c>
      <c r="B42" s="1050"/>
      <c r="C42" s="945"/>
      <c r="D42" s="945"/>
      <c r="E42" s="945"/>
      <c r="F42" s="945"/>
      <c r="G42" s="945"/>
      <c r="H42" s="945"/>
      <c r="I42" s="945"/>
      <c r="J42" s="355"/>
      <c r="R42" s="406"/>
      <c r="S42" s="407"/>
    </row>
    <row r="43" spans="1:19" s="405" customFormat="1" ht="12.75">
      <c r="A43" s="404"/>
      <c r="B43" s="404"/>
      <c r="C43" s="945"/>
      <c r="D43" s="945"/>
      <c r="E43" s="945"/>
      <c r="F43" s="945"/>
      <c r="G43" s="945"/>
      <c r="H43" s="945"/>
      <c r="I43" s="945"/>
      <c r="J43" s="355"/>
      <c r="R43" s="406"/>
      <c r="S43" s="407"/>
    </row>
    <row r="44" spans="1:19" s="405" customFormat="1" ht="12.75">
      <c r="A44" s="404"/>
      <c r="B44" s="81"/>
      <c r="C44" s="945"/>
      <c r="D44" s="945"/>
      <c r="E44" s="945"/>
      <c r="F44" s="945"/>
      <c r="G44" s="945"/>
      <c r="H44" s="945"/>
      <c r="I44" s="945"/>
      <c r="J44" s="355"/>
      <c r="R44" s="406"/>
      <c r="S44" s="407"/>
    </row>
    <row r="45" spans="1:19" s="405" customFormat="1" ht="12.75">
      <c r="A45" s="1050" t="s">
        <v>150</v>
      </c>
      <c r="B45" s="1050"/>
      <c r="C45" s="936"/>
      <c r="D45" s="936"/>
      <c r="E45" s="936"/>
      <c r="F45" s="936"/>
      <c r="G45" s="936"/>
      <c r="H45" s="936"/>
      <c r="I45" s="936"/>
      <c r="J45" s="355"/>
      <c r="R45" s="406"/>
      <c r="S45" s="407"/>
    </row>
    <row r="46" spans="1:19" s="405" customFormat="1" ht="12" customHeight="1">
      <c r="A46" s="1050" t="s">
        <v>537</v>
      </c>
      <c r="B46" s="1050"/>
      <c r="C46" s="936"/>
      <c r="D46" s="936"/>
      <c r="E46" s="936"/>
      <c r="F46" s="936"/>
      <c r="G46" s="936"/>
      <c r="H46" s="936"/>
      <c r="I46" s="936"/>
      <c r="J46" s="355"/>
      <c r="R46" s="406"/>
      <c r="S46" s="407"/>
    </row>
    <row r="47" spans="1:19" s="405" customFormat="1" ht="12.75">
      <c r="A47" s="1050" t="s">
        <v>114</v>
      </c>
      <c r="B47" s="1050"/>
      <c r="C47" s="1050"/>
      <c r="D47" s="944"/>
      <c r="E47" s="944"/>
      <c r="F47" s="944"/>
      <c r="G47" s="956"/>
      <c r="H47" s="956"/>
      <c r="I47" s="956"/>
      <c r="J47" s="355"/>
      <c r="R47" s="406"/>
      <c r="S47" s="407"/>
    </row>
    <row r="48" spans="1:19" s="405" customFormat="1" ht="12.75">
      <c r="A48" s="1050" t="s">
        <v>160</v>
      </c>
      <c r="B48" s="1050"/>
      <c r="C48" s="1050"/>
      <c r="D48" s="408"/>
      <c r="E48" s="409"/>
      <c r="F48" s="410"/>
      <c r="G48" s="410"/>
      <c r="H48" s="410"/>
      <c r="I48" s="410"/>
      <c r="J48" s="355"/>
      <c r="R48" s="406"/>
      <c r="S48" s="407"/>
    </row>
    <row r="49" spans="1:19" s="413" customFormat="1" ht="12.75">
      <c r="A49" s="1050" t="s">
        <v>161</v>
      </c>
      <c r="B49" s="1050"/>
      <c r="C49" s="1050"/>
      <c r="D49" s="1050"/>
      <c r="E49" s="949"/>
      <c r="F49" s="949"/>
      <c r="G49" s="957" t="s">
        <v>573</v>
      </c>
      <c r="H49" s="957"/>
      <c r="I49" s="412"/>
      <c r="J49" s="355"/>
      <c r="R49" s="414"/>
      <c r="S49" s="415"/>
    </row>
    <row r="50" spans="1:19" s="413" customFormat="1" ht="12.75">
      <c r="A50" s="1050" t="s">
        <v>115</v>
      </c>
      <c r="B50" s="1050"/>
      <c r="C50" s="1050"/>
      <c r="D50" s="1050"/>
      <c r="E50" s="943"/>
      <c r="F50" s="943"/>
      <c r="G50" s="608"/>
      <c r="H50" s="609"/>
      <c r="I50" s="610"/>
      <c r="J50" s="355"/>
      <c r="K50" s="487"/>
      <c r="L50" s="487"/>
      <c r="R50" s="414"/>
      <c r="S50" s="415"/>
    </row>
    <row r="51" spans="1:31" s="405" customFormat="1" ht="12.75">
      <c r="A51" s="1050" t="s">
        <v>550</v>
      </c>
      <c r="B51" s="1050"/>
      <c r="C51" s="936"/>
      <c r="D51" s="936"/>
      <c r="E51" s="936"/>
      <c r="F51" s="936"/>
      <c r="G51" s="936"/>
      <c r="H51" s="936"/>
      <c r="I51" s="936"/>
      <c r="J51" s="355"/>
      <c r="K51" s="487"/>
      <c r="L51" s="487"/>
      <c r="M51" s="413"/>
      <c r="N51" s="413"/>
      <c r="O51" s="413"/>
      <c r="P51" s="413"/>
      <c r="Q51" s="413"/>
      <c r="R51" s="414"/>
      <c r="S51" s="415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</row>
    <row r="52" spans="1:31" s="405" customFormat="1" ht="3.75" customHeight="1">
      <c r="A52" s="83"/>
      <c r="B52" s="74"/>
      <c r="C52" s="74"/>
      <c r="D52" s="75"/>
      <c r="E52" s="416"/>
      <c r="F52" s="416"/>
      <c r="G52" s="416"/>
      <c r="H52" s="416"/>
      <c r="I52" s="416"/>
      <c r="J52" s="355"/>
      <c r="K52" s="487"/>
      <c r="L52" s="487"/>
      <c r="M52" s="413"/>
      <c r="N52" s="413"/>
      <c r="O52" s="413"/>
      <c r="P52" s="413"/>
      <c r="Q52" s="413"/>
      <c r="R52" s="414"/>
      <c r="S52" s="415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413"/>
      <c r="AE52" s="413"/>
    </row>
    <row r="53" spans="1:57" s="405" customFormat="1" ht="12.75" customHeight="1">
      <c r="A53" s="1051"/>
      <c r="B53" s="1051"/>
      <c r="C53" s="1051"/>
      <c r="D53" s="1051"/>
      <c r="E53" s="1051"/>
      <c r="F53" s="1051"/>
      <c r="G53" s="1051"/>
      <c r="H53" s="1051"/>
      <c r="I53" s="1051"/>
      <c r="J53" s="355"/>
      <c r="K53" s="487"/>
      <c r="L53" s="487"/>
      <c r="M53" s="413"/>
      <c r="N53" s="413"/>
      <c r="O53" s="413"/>
      <c r="P53" s="413"/>
      <c r="Q53" s="413"/>
      <c r="R53" s="414"/>
      <c r="S53" s="415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T53" s="488"/>
      <c r="AU53" s="488"/>
      <c r="AV53" s="488"/>
      <c r="AW53" s="488"/>
      <c r="AX53" s="488"/>
      <c r="AY53" s="488"/>
      <c r="AZ53" s="488"/>
      <c r="BA53" s="488"/>
      <c r="BB53" s="488"/>
      <c r="BC53" s="488"/>
      <c r="BD53" s="488"/>
      <c r="BE53" s="488"/>
    </row>
    <row r="54" spans="1:57" s="405" customFormat="1" ht="12.75">
      <c r="A54" s="1051"/>
      <c r="B54" s="1051"/>
      <c r="C54" s="1051"/>
      <c r="D54" s="1051"/>
      <c r="E54" s="1051"/>
      <c r="F54" s="1051"/>
      <c r="G54" s="1051"/>
      <c r="H54" s="1051"/>
      <c r="I54" s="1051"/>
      <c r="J54" s="355"/>
      <c r="K54" s="487"/>
      <c r="L54" s="487"/>
      <c r="M54" s="413"/>
      <c r="N54" s="413"/>
      <c r="O54" s="413"/>
      <c r="P54" s="413"/>
      <c r="Q54" s="413"/>
      <c r="R54" s="414"/>
      <c r="S54" s="415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/>
      <c r="BE54" s="488"/>
    </row>
    <row r="55" spans="1:57" s="405" customFormat="1" ht="12.75">
      <c r="A55" s="1051"/>
      <c r="B55" s="1051"/>
      <c r="C55" s="1051"/>
      <c r="D55" s="1051"/>
      <c r="E55" s="1051"/>
      <c r="F55" s="1051"/>
      <c r="G55" s="1051"/>
      <c r="H55" s="1051"/>
      <c r="I55" s="1051"/>
      <c r="J55" s="355"/>
      <c r="K55" s="487"/>
      <c r="L55" s="487"/>
      <c r="M55" s="413"/>
      <c r="N55" s="413"/>
      <c r="O55" s="413"/>
      <c r="P55" s="413"/>
      <c r="Q55" s="413"/>
      <c r="R55" s="414"/>
      <c r="S55" s="415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  <c r="AT55" s="488"/>
      <c r="AU55" s="488"/>
      <c r="AV55" s="488"/>
      <c r="AW55" s="488"/>
      <c r="AX55" s="488"/>
      <c r="AY55" s="488"/>
      <c r="AZ55" s="488"/>
      <c r="BA55" s="488"/>
      <c r="BB55" s="488"/>
      <c r="BC55" s="488"/>
      <c r="BD55" s="488"/>
      <c r="BE55" s="488"/>
    </row>
    <row r="56" spans="1:57" s="405" customFormat="1" ht="12.75">
      <c r="A56" s="1051"/>
      <c r="B56" s="1051"/>
      <c r="C56" s="1051"/>
      <c r="D56" s="1051"/>
      <c r="E56" s="1051"/>
      <c r="F56" s="1051"/>
      <c r="G56" s="1051"/>
      <c r="H56" s="1051"/>
      <c r="I56" s="1051"/>
      <c r="J56" s="355"/>
      <c r="K56" s="487"/>
      <c r="L56" s="487"/>
      <c r="M56" s="413"/>
      <c r="N56" s="413"/>
      <c r="O56" s="413"/>
      <c r="P56" s="413"/>
      <c r="Q56" s="413"/>
      <c r="R56" s="414"/>
      <c r="S56" s="415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</row>
    <row r="57" spans="1:57" s="405" customFormat="1" ht="7.5" customHeight="1">
      <c r="A57" s="489"/>
      <c r="B57" s="489"/>
      <c r="C57" s="489"/>
      <c r="D57" s="489"/>
      <c r="E57" s="489"/>
      <c r="F57" s="489"/>
      <c r="G57" s="489"/>
      <c r="H57" s="489"/>
      <c r="I57" s="489"/>
      <c r="J57" s="355"/>
      <c r="K57" s="487"/>
      <c r="L57" s="487"/>
      <c r="M57" s="413"/>
      <c r="N57" s="413"/>
      <c r="O57" s="413"/>
      <c r="P57" s="413"/>
      <c r="Q57" s="413"/>
      <c r="R57" s="414"/>
      <c r="S57" s="415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  <c r="AT57" s="488"/>
      <c r="AU57" s="488"/>
      <c r="AV57" s="488"/>
      <c r="AW57" s="488"/>
      <c r="AX57" s="488"/>
      <c r="AY57" s="488"/>
      <c r="AZ57" s="488"/>
      <c r="BA57" s="488"/>
      <c r="BB57" s="488"/>
      <c r="BC57" s="488"/>
      <c r="BD57" s="488"/>
      <c r="BE57" s="488"/>
    </row>
    <row r="58" spans="1:57" s="405" customFormat="1" ht="12.75">
      <c r="A58" s="482" t="s">
        <v>568</v>
      </c>
      <c r="B58" s="86"/>
      <c r="C58" s="488"/>
      <c r="D58" s="488"/>
      <c r="E58" s="488"/>
      <c r="F58" s="491"/>
      <c r="G58" s="488"/>
      <c r="H58" s="488"/>
      <c r="I58" s="488"/>
      <c r="J58" s="355"/>
      <c r="K58" s="487"/>
      <c r="L58" s="487"/>
      <c r="M58" s="413"/>
      <c r="N58" s="413"/>
      <c r="O58" s="413"/>
      <c r="P58" s="413"/>
      <c r="Q58" s="413"/>
      <c r="R58" s="414"/>
      <c r="S58" s="415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13"/>
      <c r="AT58" s="488"/>
      <c r="AU58" s="488"/>
      <c r="AV58" s="488"/>
      <c r="AW58" s="488"/>
      <c r="AX58" s="488"/>
      <c r="AY58" s="488"/>
      <c r="AZ58" s="488"/>
      <c r="BA58" s="488"/>
      <c r="BB58" s="488"/>
      <c r="BC58" s="488"/>
      <c r="BD58" s="488"/>
      <c r="BE58" s="488"/>
    </row>
    <row r="59" spans="1:31" s="405" customFormat="1" ht="12.75">
      <c r="A59" s="1037" t="str">
        <f>'[3]общие сведения'!A63</f>
        <v>Курсы повышения квалификации</v>
      </c>
      <c r="B59" s="1037"/>
      <c r="C59" s="1037"/>
      <c r="D59" s="1037"/>
      <c r="E59" s="1037"/>
      <c r="F59" s="490"/>
      <c r="G59" s="86" t="s">
        <v>569</v>
      </c>
      <c r="H59" s="416"/>
      <c r="I59" s="416"/>
      <c r="J59" s="355"/>
      <c r="K59" s="487"/>
      <c r="L59" s="487"/>
      <c r="M59" s="413"/>
      <c r="N59" s="413"/>
      <c r="O59" s="413"/>
      <c r="P59" s="413"/>
      <c r="Q59" s="413"/>
      <c r="R59" s="414"/>
      <c r="S59" s="415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3"/>
    </row>
    <row r="60" spans="1:31" s="405" customFormat="1" ht="12.75">
      <c r="A60" s="1038" t="str">
        <f>"Дополнительное профессиональное образование"&amp;'[3]общие сведения'!M56</f>
        <v>Дополнительное профессиональное образование</v>
      </c>
      <c r="B60" s="1038"/>
      <c r="C60" s="1038"/>
      <c r="D60" s="1038"/>
      <c r="E60" s="1038"/>
      <c r="F60" s="1038"/>
      <c r="G60" s="1038"/>
      <c r="H60" s="1038"/>
      <c r="I60" s="1038"/>
      <c r="J60" s="355"/>
      <c r="K60" s="487"/>
      <c r="L60" s="487"/>
      <c r="M60" s="413"/>
      <c r="N60" s="413"/>
      <c r="O60" s="413"/>
      <c r="P60" s="413"/>
      <c r="Q60" s="413"/>
      <c r="R60" s="414"/>
      <c r="S60" s="415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</row>
    <row r="61" spans="1:19" s="405" customFormat="1" ht="12.75">
      <c r="A61" s="1051"/>
      <c r="B61" s="1051"/>
      <c r="C61" s="1051"/>
      <c r="D61" s="1051"/>
      <c r="E61" s="1051"/>
      <c r="F61" s="1051"/>
      <c r="G61" s="1051"/>
      <c r="H61" s="1051"/>
      <c r="I61" s="1051"/>
      <c r="J61" s="355"/>
      <c r="R61" s="406"/>
      <c r="S61" s="407"/>
    </row>
    <row r="62" spans="1:19" s="405" customFormat="1" ht="12.75">
      <c r="A62" s="1051"/>
      <c r="B62" s="1051"/>
      <c r="C62" s="1051"/>
      <c r="D62" s="1051"/>
      <c r="E62" s="1051"/>
      <c r="F62" s="1051"/>
      <c r="G62" s="1051"/>
      <c r="H62" s="1051"/>
      <c r="I62" s="1051"/>
      <c r="J62" s="355"/>
      <c r="R62" s="406"/>
      <c r="S62" s="407"/>
    </row>
    <row r="63" spans="1:19" s="405" customFormat="1" ht="12.75">
      <c r="A63" s="1051"/>
      <c r="B63" s="1051"/>
      <c r="C63" s="1051"/>
      <c r="D63" s="1051"/>
      <c r="E63" s="1051"/>
      <c r="F63" s="1051"/>
      <c r="G63" s="1051"/>
      <c r="H63" s="1051"/>
      <c r="I63" s="1051"/>
      <c r="J63" s="355"/>
      <c r="R63" s="406"/>
      <c r="S63" s="407"/>
    </row>
    <row r="64" spans="1:19" s="405" customFormat="1" ht="9" customHeight="1">
      <c r="A64" s="484"/>
      <c r="B64" s="74"/>
      <c r="C64" s="74"/>
      <c r="D64" s="75"/>
      <c r="E64" s="416"/>
      <c r="F64" s="416"/>
      <c r="G64" s="416"/>
      <c r="H64" s="416"/>
      <c r="I64" s="416"/>
      <c r="J64" s="355"/>
      <c r="R64" s="406"/>
      <c r="S64" s="407"/>
    </row>
    <row r="65" spans="1:19" s="405" customFormat="1" ht="12.75">
      <c r="A65" s="1036" t="s">
        <v>570</v>
      </c>
      <c r="B65" s="1036"/>
      <c r="C65" s="1036"/>
      <c r="D65" s="1036"/>
      <c r="E65" s="1036"/>
      <c r="F65" s="1036"/>
      <c r="G65" s="1036"/>
      <c r="H65" s="1036"/>
      <c r="I65" s="1036"/>
      <c r="J65" s="355"/>
      <c r="R65" s="406"/>
      <c r="S65" s="407"/>
    </row>
    <row r="66" spans="1:19" s="405" customFormat="1" ht="12.75" customHeight="1">
      <c r="A66" s="1035" t="s">
        <v>571</v>
      </c>
      <c r="B66" s="1035"/>
      <c r="C66" s="1035"/>
      <c r="D66" s="1035"/>
      <c r="E66" s="1035"/>
      <c r="F66" s="1035"/>
      <c r="G66" s="1035"/>
      <c r="H66" s="1035"/>
      <c r="I66" s="1035"/>
      <c r="J66" s="355"/>
      <c r="R66" s="406"/>
      <c r="S66" s="407"/>
    </row>
    <row r="67" spans="1:19" s="405" customFormat="1" ht="12.75">
      <c r="A67" s="1035"/>
      <c r="B67" s="1035"/>
      <c r="C67" s="1035"/>
      <c r="D67" s="1035"/>
      <c r="E67" s="1035"/>
      <c r="F67" s="1035"/>
      <c r="G67" s="1035"/>
      <c r="H67" s="1035"/>
      <c r="I67" s="1035"/>
      <c r="J67" s="355"/>
      <c r="R67" s="406"/>
      <c r="S67" s="407"/>
    </row>
    <row r="68" spans="1:19" s="405" customFormat="1" ht="12.75">
      <c r="A68" s="1035"/>
      <c r="B68" s="1035"/>
      <c r="C68" s="1035"/>
      <c r="D68" s="1035"/>
      <c r="E68" s="1035"/>
      <c r="F68" s="1035"/>
      <c r="G68" s="1035"/>
      <c r="H68" s="1035"/>
      <c r="I68" s="1035"/>
      <c r="J68" s="355"/>
      <c r="R68" s="406"/>
      <c r="S68" s="407"/>
    </row>
    <row r="69" spans="1:19" s="405" customFormat="1" ht="20.25" customHeight="1">
      <c r="A69" s="1035" t="s">
        <v>572</v>
      </c>
      <c r="B69" s="1035"/>
      <c r="C69" s="1035"/>
      <c r="D69" s="1035"/>
      <c r="E69" s="1035"/>
      <c r="F69" s="1035"/>
      <c r="G69" s="1035"/>
      <c r="H69" s="1035"/>
      <c r="I69" s="1035"/>
      <c r="J69" s="355"/>
      <c r="R69" s="406"/>
      <c r="S69" s="407"/>
    </row>
    <row r="70" spans="1:19" s="405" customFormat="1" ht="12.75">
      <c r="A70" s="86" t="str">
        <f>ЭЗ!A70</f>
        <v>1. Продуктивность образовательной деятельности</v>
      </c>
      <c r="C70" s="86"/>
      <c r="D70" s="75"/>
      <c r="E70" s="416"/>
      <c r="F70" s="416"/>
      <c r="G70" s="416"/>
      <c r="H70" s="416"/>
      <c r="I70" s="602"/>
      <c r="J70" s="355"/>
      <c r="R70" s="406"/>
      <c r="S70" s="407"/>
    </row>
    <row r="71" spans="1:19" s="405" customFormat="1" ht="12.75">
      <c r="A71" s="86" t="str">
        <f>ЭЗ!A71</f>
        <v>2. Продуктивность деятельности педагогического работника по развитию обучающихся/ воспитанников</v>
      </c>
      <c r="C71" s="86"/>
      <c r="D71" s="75"/>
      <c r="E71" s="416"/>
      <c r="F71" s="416"/>
      <c r="G71" s="416"/>
      <c r="H71" s="416"/>
      <c r="I71" s="602"/>
      <c r="J71" s="355"/>
      <c r="R71" s="406"/>
      <c r="S71" s="407"/>
    </row>
    <row r="72" spans="1:19" s="405" customFormat="1" ht="12.75">
      <c r="A72" s="86" t="str">
        <f>ЭЗ!A72</f>
        <v>3. Продуктивность личного вклада педагогического работника в повышение качества образования</v>
      </c>
      <c r="C72" s="86"/>
      <c r="D72" s="75"/>
      <c r="E72" s="416"/>
      <c r="F72" s="416"/>
      <c r="G72" s="416"/>
      <c r="H72" s="416"/>
      <c r="I72" s="602"/>
      <c r="J72" s="355"/>
      <c r="R72" s="406"/>
      <c r="S72" s="407"/>
    </row>
    <row r="73" spans="1:19" s="405" customFormat="1" ht="16.5" customHeight="1">
      <c r="A73" s="1042" t="s">
        <v>577</v>
      </c>
      <c r="B73" s="1042"/>
      <c r="C73" s="1042"/>
      <c r="D73" s="1042"/>
      <c r="E73" s="1042"/>
      <c r="F73" s="1042"/>
      <c r="G73" s="1042"/>
      <c r="H73" s="1041"/>
      <c r="I73" s="1041"/>
      <c r="J73" s="355"/>
      <c r="R73" s="406"/>
      <c r="S73" s="407"/>
    </row>
    <row r="74" spans="1:19" s="405" customFormat="1" ht="7.5" customHeight="1">
      <c r="A74" s="492"/>
      <c r="B74" s="492"/>
      <c r="C74" s="492"/>
      <c r="D74" s="492"/>
      <c r="E74" s="492"/>
      <c r="F74" s="492"/>
      <c r="G74" s="492"/>
      <c r="H74" s="492"/>
      <c r="I74" s="504"/>
      <c r="J74" s="355"/>
      <c r="R74" s="406"/>
      <c r="S74" s="407"/>
    </row>
    <row r="75" spans="1:19" s="405" customFormat="1" ht="7.5" customHeight="1" hidden="1">
      <c r="A75" s="492"/>
      <c r="B75" s="492"/>
      <c r="C75" s="492"/>
      <c r="D75" s="492"/>
      <c r="E75" s="492"/>
      <c r="F75" s="492"/>
      <c r="G75" s="492"/>
      <c r="H75" s="492"/>
      <c r="I75" s="504"/>
      <c r="J75" s="355"/>
      <c r="R75" s="406"/>
      <c r="S75" s="407"/>
    </row>
    <row r="76" spans="1:19" s="497" customFormat="1" ht="15.75" customHeight="1">
      <c r="A76" s="1039" t="s">
        <v>502</v>
      </c>
      <c r="B76" s="1039"/>
      <c r="C76" s="1039"/>
      <c r="D76" s="501"/>
      <c r="E76" s="502"/>
      <c r="F76" s="503"/>
      <c r="G76" s="502"/>
      <c r="H76" s="501"/>
      <c r="I76" s="494" t="s">
        <v>579</v>
      </c>
      <c r="J76" s="495"/>
      <c r="K76" s="496"/>
      <c r="L76" s="496"/>
      <c r="M76" s="496"/>
      <c r="N76" s="16"/>
      <c r="O76" s="255"/>
      <c r="R76" s="498"/>
      <c r="S76" s="391"/>
    </row>
    <row r="77" spans="1:19" s="497" customFormat="1" ht="12.75">
      <c r="A77" s="1039" t="s">
        <v>578</v>
      </c>
      <c r="B77" s="1039"/>
      <c r="C77" s="1039"/>
      <c r="D77" s="506"/>
      <c r="E77" s="85" t="s">
        <v>504</v>
      </c>
      <c r="F77" s="500"/>
      <c r="H77" s="493"/>
      <c r="I77" s="84"/>
      <c r="J77" s="495"/>
      <c r="K77" s="496"/>
      <c r="L77" s="496"/>
      <c r="M77" s="496"/>
      <c r="N77" s="16"/>
      <c r="O77" s="255"/>
      <c r="R77" s="498"/>
      <c r="S77" s="391"/>
    </row>
    <row r="78" spans="1:19" s="405" customFormat="1" ht="4.5" customHeight="1">
      <c r="A78" s="83"/>
      <c r="B78" s="74"/>
      <c r="C78" s="74"/>
      <c r="D78" s="75"/>
      <c r="E78" s="416"/>
      <c r="F78" s="416"/>
      <c r="G78" s="416"/>
      <c r="H78" s="416"/>
      <c r="I78" s="416"/>
      <c r="J78" s="355"/>
      <c r="R78" s="406"/>
      <c r="S78" s="407"/>
    </row>
    <row r="79" spans="1:19" s="405" customFormat="1" ht="12.75">
      <c r="A79" s="482" t="s">
        <v>241</v>
      </c>
      <c r="B79" s="74"/>
      <c r="C79" s="74"/>
      <c r="D79" s="75"/>
      <c r="E79" s="416"/>
      <c r="F79" s="416"/>
      <c r="G79" s="416"/>
      <c r="H79" s="416"/>
      <c r="I79" s="416"/>
      <c r="J79" s="355"/>
      <c r="R79" s="406"/>
      <c r="S79" s="407"/>
    </row>
    <row r="80" spans="1:50" s="405" customFormat="1" ht="12.75" customHeight="1">
      <c r="A80" s="83"/>
      <c r="B80" s="74"/>
      <c r="C80" s="1040"/>
      <c r="D80" s="1040"/>
      <c r="E80" s="1040"/>
      <c r="F80" s="1040"/>
      <c r="G80" s="1040"/>
      <c r="H80" s="1040"/>
      <c r="I80" s="1040"/>
      <c r="J80" s="355"/>
      <c r="K80" s="507"/>
      <c r="L80" s="507"/>
      <c r="M80" s="507"/>
      <c r="N80" s="507"/>
      <c r="O80" s="507"/>
      <c r="P80" s="507"/>
      <c r="Q80" s="507"/>
      <c r="R80" s="507"/>
      <c r="S80" s="407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  <c r="AG80" s="507"/>
      <c r="AH80" s="507"/>
      <c r="AI80" s="507"/>
      <c r="AJ80" s="507"/>
      <c r="AK80" s="507"/>
      <c r="AL80" s="507"/>
      <c r="AM80" s="507"/>
      <c r="AN80" s="507"/>
      <c r="AO80" s="507"/>
      <c r="AP80" s="507"/>
      <c r="AQ80" s="507"/>
      <c r="AR80" s="507"/>
      <c r="AS80" s="507"/>
      <c r="AT80" s="507"/>
      <c r="AU80" s="507"/>
      <c r="AV80" s="507"/>
      <c r="AW80" s="507"/>
      <c r="AX80" s="507"/>
    </row>
    <row r="81" spans="1:50" s="405" customFormat="1" ht="12.75">
      <c r="A81" s="83"/>
      <c r="B81" s="74"/>
      <c r="C81" s="1040"/>
      <c r="D81" s="1040"/>
      <c r="E81" s="1040"/>
      <c r="F81" s="1040"/>
      <c r="G81" s="1040"/>
      <c r="H81" s="1040"/>
      <c r="I81" s="1040"/>
      <c r="J81" s="355"/>
      <c r="K81" s="507"/>
      <c r="L81" s="507"/>
      <c r="M81" s="507"/>
      <c r="N81" s="507"/>
      <c r="O81" s="507"/>
      <c r="P81" s="507"/>
      <c r="Q81" s="507"/>
      <c r="R81" s="507"/>
      <c r="S81" s="407"/>
      <c r="T81" s="507"/>
      <c r="U81" s="507"/>
      <c r="V81" s="507"/>
      <c r="W81" s="507"/>
      <c r="X81" s="507"/>
      <c r="Y81" s="507"/>
      <c r="Z81" s="507"/>
      <c r="AA81" s="507"/>
      <c r="AB81" s="507"/>
      <c r="AC81" s="507"/>
      <c r="AD81" s="507"/>
      <c r="AE81" s="507"/>
      <c r="AF81" s="507"/>
      <c r="AG81" s="507"/>
      <c r="AH81" s="507"/>
      <c r="AI81" s="507"/>
      <c r="AJ81" s="507"/>
      <c r="AK81" s="507"/>
      <c r="AL81" s="507"/>
      <c r="AM81" s="507"/>
      <c r="AN81" s="507"/>
      <c r="AO81" s="507"/>
      <c r="AP81" s="507"/>
      <c r="AQ81" s="507"/>
      <c r="AR81" s="507"/>
      <c r="AS81" s="507"/>
      <c r="AT81" s="507"/>
      <c r="AU81" s="507"/>
      <c r="AV81" s="507"/>
      <c r="AW81" s="507"/>
      <c r="AX81" s="507"/>
    </row>
    <row r="82" spans="1:50" s="405" customFormat="1" ht="3" customHeight="1">
      <c r="A82" s="83"/>
      <c r="B82" s="74"/>
      <c r="C82" s="1040"/>
      <c r="D82" s="1040"/>
      <c r="E82" s="1040"/>
      <c r="F82" s="1040"/>
      <c r="G82" s="1040"/>
      <c r="H82" s="1040"/>
      <c r="I82" s="1040"/>
      <c r="J82" s="355"/>
      <c r="K82" s="507"/>
      <c r="L82" s="507"/>
      <c r="M82" s="507"/>
      <c r="N82" s="507"/>
      <c r="O82" s="507"/>
      <c r="P82" s="507"/>
      <c r="Q82" s="507"/>
      <c r="R82" s="507"/>
      <c r="S82" s="407"/>
      <c r="T82" s="507"/>
      <c r="U82" s="507"/>
      <c r="V82" s="507"/>
      <c r="W82" s="507"/>
      <c r="X82" s="507"/>
      <c r="Y82" s="507"/>
      <c r="Z82" s="507"/>
      <c r="AA82" s="507"/>
      <c r="AB82" s="507"/>
      <c r="AC82" s="507"/>
      <c r="AD82" s="507"/>
      <c r="AE82" s="507"/>
      <c r="AF82" s="507"/>
      <c r="AG82" s="507"/>
      <c r="AH82" s="507"/>
      <c r="AI82" s="507"/>
      <c r="AJ82" s="507"/>
      <c r="AK82" s="507"/>
      <c r="AL82" s="507"/>
      <c r="AM82" s="507"/>
      <c r="AN82" s="507"/>
      <c r="AO82" s="507"/>
      <c r="AP82" s="507"/>
      <c r="AQ82" s="507"/>
      <c r="AR82" s="507"/>
      <c r="AS82" s="507"/>
      <c r="AT82" s="507"/>
      <c r="AU82" s="507"/>
      <c r="AV82" s="507"/>
      <c r="AW82" s="507"/>
      <c r="AX82" s="507"/>
    </row>
    <row r="83" spans="1:19" s="405" customFormat="1" ht="3" customHeight="1">
      <c r="A83" s="83"/>
      <c r="B83" s="74"/>
      <c r="C83" s="74"/>
      <c r="D83" s="75"/>
      <c r="E83" s="416"/>
      <c r="F83" s="416"/>
      <c r="G83" s="416"/>
      <c r="H83" s="416"/>
      <c r="I83" s="416"/>
      <c r="J83" s="355"/>
      <c r="R83" s="406"/>
      <c r="S83" s="407"/>
    </row>
    <row r="84" spans="1:19" s="493" customFormat="1" ht="15" customHeight="1">
      <c r="A84" s="931" t="s">
        <v>263</v>
      </c>
      <c r="B84" s="931"/>
      <c r="C84" s="931"/>
      <c r="D84" s="75"/>
      <c r="E84" s="75"/>
      <c r="F84" s="75"/>
      <c r="G84" s="75"/>
      <c r="H84" s="75"/>
      <c r="I84" s="75"/>
      <c r="J84" s="355"/>
      <c r="K84" s="514"/>
      <c r="L84" s="514"/>
      <c r="M84" s="514"/>
      <c r="N84" s="514"/>
      <c r="O84" s="85"/>
      <c r="P84" s="85"/>
      <c r="Q84" s="85"/>
      <c r="R84" s="515"/>
      <c r="S84" s="407"/>
    </row>
    <row r="85" spans="1:19" s="497" customFormat="1" ht="12.75">
      <c r="A85" s="931"/>
      <c r="B85" s="931"/>
      <c r="C85" s="931"/>
      <c r="D85" s="86"/>
      <c r="E85" s="86"/>
      <c r="F85" s="499"/>
      <c r="G85" s="494"/>
      <c r="H85" s="494"/>
      <c r="I85" s="494"/>
      <c r="J85" s="355"/>
      <c r="K85" s="514"/>
      <c r="L85" s="514"/>
      <c r="M85" s="514"/>
      <c r="N85" s="86"/>
      <c r="O85" s="336"/>
      <c r="P85" s="517"/>
      <c r="Q85" s="336"/>
      <c r="R85" s="299"/>
      <c r="S85" s="407"/>
    </row>
    <row r="86" spans="1:19" s="497" customFormat="1" ht="9.75" customHeight="1">
      <c r="A86" s="931" t="s">
        <v>580</v>
      </c>
      <c r="B86" s="931"/>
      <c r="C86" s="931"/>
      <c r="D86" s="86"/>
      <c r="E86" s="86"/>
      <c r="F86" s="1033" t="s">
        <v>147</v>
      </c>
      <c r="G86" s="1033"/>
      <c r="H86" s="1033"/>
      <c r="I86" s="1033"/>
      <c r="J86" s="355"/>
      <c r="K86" s="519"/>
      <c r="L86" s="519"/>
      <c r="M86" s="519"/>
      <c r="N86" s="62"/>
      <c r="O86" s="86"/>
      <c r="P86" s="86"/>
      <c r="Q86" s="86"/>
      <c r="R86" s="520"/>
      <c r="S86" s="407"/>
    </row>
    <row r="87" spans="1:19" s="497" customFormat="1" ht="15.75" customHeight="1">
      <c r="A87" s="931"/>
      <c r="B87" s="931"/>
      <c r="C87" s="931"/>
      <c r="D87" s="86"/>
      <c r="E87" s="86"/>
      <c r="F87" s="499"/>
      <c r="G87" s="483"/>
      <c r="H87" s="483"/>
      <c r="I87" s="483"/>
      <c r="J87" s="355"/>
      <c r="K87" s="85"/>
      <c r="L87" s="85"/>
      <c r="M87" s="85"/>
      <c r="N87" s="86"/>
      <c r="O87" s="62"/>
      <c r="P87" s="62"/>
      <c r="Q87" s="62"/>
      <c r="R87" s="300"/>
      <c r="S87" s="407"/>
    </row>
    <row r="88" spans="1:19" s="497" customFormat="1" ht="9.75" customHeight="1">
      <c r="A88" s="498"/>
      <c r="B88" s="521"/>
      <c r="C88" s="75"/>
      <c r="D88" s="86"/>
      <c r="E88" s="86"/>
      <c r="F88" s="1033" t="s">
        <v>147</v>
      </c>
      <c r="G88" s="1033"/>
      <c r="H88" s="1033"/>
      <c r="I88" s="1033"/>
      <c r="J88" s="355"/>
      <c r="K88" s="519"/>
      <c r="L88" s="85"/>
      <c r="M88" s="85"/>
      <c r="N88" s="62"/>
      <c r="O88" s="86"/>
      <c r="P88" s="86"/>
      <c r="Q88" s="86"/>
      <c r="R88" s="520"/>
      <c r="S88" s="407"/>
    </row>
    <row r="89" spans="1:19" s="497" customFormat="1" ht="15.75">
      <c r="A89" s="498"/>
      <c r="B89" s="83"/>
      <c r="C89" s="75"/>
      <c r="D89" s="86"/>
      <c r="E89" s="86"/>
      <c r="F89" s="499"/>
      <c r="G89" s="505"/>
      <c r="H89" s="483"/>
      <c r="I89" s="483"/>
      <c r="J89" s="355"/>
      <c r="K89" s="522"/>
      <c r="L89" s="522"/>
      <c r="M89" s="522"/>
      <c r="N89" s="86"/>
      <c r="O89" s="62"/>
      <c r="P89" s="62"/>
      <c r="Q89" s="62"/>
      <c r="R89" s="300"/>
      <c r="S89" s="407"/>
    </row>
    <row r="90" spans="2:19" s="497" customFormat="1" ht="11.25" customHeight="1">
      <c r="B90" s="83"/>
      <c r="C90" s="75"/>
      <c r="D90" s="86"/>
      <c r="E90" s="86"/>
      <c r="F90" s="1033" t="s">
        <v>147</v>
      </c>
      <c r="G90" s="1033"/>
      <c r="H90" s="1033"/>
      <c r="I90" s="1033"/>
      <c r="J90" s="355"/>
      <c r="K90" s="522"/>
      <c r="L90" s="519"/>
      <c r="M90" s="86"/>
      <c r="N90" s="62"/>
      <c r="O90" s="86"/>
      <c r="P90" s="86"/>
      <c r="Q90" s="86"/>
      <c r="R90" s="520"/>
      <c r="S90" s="407"/>
    </row>
    <row r="91" spans="2:19" s="497" customFormat="1" ht="11.25" customHeight="1">
      <c r="B91" s="83"/>
      <c r="C91" s="75"/>
      <c r="D91" s="86"/>
      <c r="E91" s="86"/>
      <c r="F91" s="381"/>
      <c r="G91" s="381"/>
      <c r="H91" s="381"/>
      <c r="I91" s="381"/>
      <c r="J91" s="355"/>
      <c r="K91" s="522"/>
      <c r="L91" s="519"/>
      <c r="M91" s="86"/>
      <c r="N91" s="62"/>
      <c r="O91" s="86"/>
      <c r="P91" s="86"/>
      <c r="Q91" s="86"/>
      <c r="R91" s="520"/>
      <c r="S91" s="407"/>
    </row>
    <row r="92" spans="1:19" s="497" customFormat="1" ht="15" customHeight="1">
      <c r="A92" s="955" t="s">
        <v>53</v>
      </c>
      <c r="B92" s="955"/>
      <c r="C92" s="955"/>
      <c r="D92" s="955"/>
      <c r="E92" s="955"/>
      <c r="F92" s="955"/>
      <c r="G92" s="1052" t="s">
        <v>637</v>
      </c>
      <c r="H92" s="1053"/>
      <c r="I92" s="1053"/>
      <c r="J92" s="355"/>
      <c r="K92" s="519"/>
      <c r="L92" s="519"/>
      <c r="M92" s="62"/>
      <c r="N92" s="62"/>
      <c r="O92" s="86"/>
      <c r="P92" s="86"/>
      <c r="Q92" s="86"/>
      <c r="R92" s="520"/>
      <c r="S92" s="407"/>
    </row>
    <row r="93" spans="1:19" s="497" customFormat="1" ht="15" customHeight="1">
      <c r="A93" s="554"/>
      <c r="B93" s="554"/>
      <c r="C93" s="554"/>
      <c r="D93" s="554"/>
      <c r="E93" s="554"/>
      <c r="F93" s="554"/>
      <c r="G93" s="537"/>
      <c r="H93" s="537"/>
      <c r="I93" s="336"/>
      <c r="J93" s="355"/>
      <c r="K93" s="519"/>
      <c r="L93" s="519"/>
      <c r="M93" s="62"/>
      <c r="N93" s="62"/>
      <c r="O93" s="86"/>
      <c r="P93" s="86"/>
      <c r="Q93" s="86"/>
      <c r="R93" s="520"/>
      <c r="S93" s="407"/>
    </row>
    <row r="94" spans="1:19" s="497" customFormat="1" ht="5.25" customHeight="1">
      <c r="A94" s="498"/>
      <c r="B94" s="83"/>
      <c r="C94" s="87"/>
      <c r="D94" s="75"/>
      <c r="E94" s="75"/>
      <c r="F94" s="75"/>
      <c r="G94" s="75"/>
      <c r="H94" s="523"/>
      <c r="I94" s="75"/>
      <c r="J94" s="355"/>
      <c r="K94" s="522"/>
      <c r="L94" s="86" t="e">
        <f>IF(утв!#REF!&lt;&gt;"",утв!#REF!,"")</f>
        <v>#REF!</v>
      </c>
      <c r="M94" s="86"/>
      <c r="N94" s="524"/>
      <c r="O94" s="62"/>
      <c r="P94" s="62"/>
      <c r="Q94" s="62"/>
      <c r="R94" s="300"/>
      <c r="S94" s="407"/>
    </row>
    <row r="95" spans="2:19" s="497" customFormat="1" ht="15.75" customHeight="1">
      <c r="B95" s="854"/>
      <c r="C95" s="854"/>
      <c r="D95" s="854"/>
      <c r="E95" s="854"/>
      <c r="F95" s="854"/>
      <c r="G95" s="854"/>
      <c r="H95" s="854"/>
      <c r="I95" s="854"/>
      <c r="J95" s="355"/>
      <c r="K95" s="526"/>
      <c r="L95" s="526"/>
      <c r="M95" s="62"/>
      <c r="N95" s="524"/>
      <c r="O95" s="527"/>
      <c r="P95" s="528"/>
      <c r="Q95" s="60"/>
      <c r="R95" s="299"/>
      <c r="S95" s="407"/>
    </row>
    <row r="96" spans="1:19" s="493" customFormat="1" ht="15">
      <c r="A96" s="498"/>
      <c r="B96" s="937" t="s">
        <v>230</v>
      </c>
      <c r="C96" s="937"/>
      <c r="D96" s="937"/>
      <c r="E96" s="937"/>
      <c r="F96" s="937"/>
      <c r="G96" s="937"/>
      <c r="H96" s="937"/>
      <c r="I96" s="937"/>
      <c r="J96" s="355"/>
      <c r="K96" s="531"/>
      <c r="L96" s="86" t="e">
        <f>IF(утв!#REF!&lt;&gt;"",утв!#REF!,"")</f>
        <v>#REF!</v>
      </c>
      <c r="M96" s="86"/>
      <c r="N96" s="524"/>
      <c r="O96" s="532"/>
      <c r="P96" s="509"/>
      <c r="Q96" s="533"/>
      <c r="R96" s="293"/>
      <c r="S96" s="407"/>
    </row>
    <row r="97" spans="1:19" s="493" customFormat="1" ht="1.5" customHeight="1">
      <c r="A97" s="534" t="s">
        <v>157</v>
      </c>
      <c r="B97" s="529"/>
      <c r="C97" s="529"/>
      <c r="D97" s="529"/>
      <c r="E97" s="529"/>
      <c r="F97" s="529"/>
      <c r="G97" s="529"/>
      <c r="H97" s="529"/>
      <c r="I97" s="529"/>
      <c r="J97" s="355"/>
      <c r="K97" s="531"/>
      <c r="L97" s="86"/>
      <c r="M97" s="86"/>
      <c r="N97" s="522"/>
      <c r="O97" s="532"/>
      <c r="P97" s="509"/>
      <c r="Q97" s="533"/>
      <c r="R97" s="293"/>
      <c r="S97" s="407"/>
    </row>
    <row r="98" spans="1:19" s="497" customFormat="1" ht="15.75">
      <c r="A98" s="535" t="s">
        <v>262</v>
      </c>
      <c r="B98" s="493"/>
      <c r="C98" s="88"/>
      <c r="E98" s="536"/>
      <c r="F98" s="499"/>
      <c r="G98" s="493"/>
      <c r="H98" s="493"/>
      <c r="I98" s="493"/>
      <c r="J98" s="355"/>
      <c r="K98" s="526"/>
      <c r="L98" s="526"/>
      <c r="M98" s="62"/>
      <c r="N98" s="537"/>
      <c r="O98" s="336"/>
      <c r="P98" s="517"/>
      <c r="Q98" s="336"/>
      <c r="R98" s="299"/>
      <c r="S98" s="407"/>
    </row>
    <row r="99" spans="1:19" s="493" customFormat="1" ht="15.75">
      <c r="A99" s="497"/>
      <c r="B99" s="336"/>
      <c r="C99" s="75"/>
      <c r="D99" s="874" t="s">
        <v>146</v>
      </c>
      <c r="E99" s="874"/>
      <c r="F99" s="874" t="s">
        <v>147</v>
      </c>
      <c r="G99" s="874"/>
      <c r="H99" s="874"/>
      <c r="I99" s="874"/>
      <c r="J99" s="355"/>
      <c r="K99" s="519"/>
      <c r="L99" s="519"/>
      <c r="M99" s="524"/>
      <c r="N99" s="539"/>
      <c r="O99" s="539"/>
      <c r="P99" s="539"/>
      <c r="Q99" s="539"/>
      <c r="R99" s="539"/>
      <c r="S99" s="407"/>
    </row>
    <row r="100" spans="1:19" s="405" customFormat="1" ht="1.5" customHeight="1">
      <c r="A100" s="83"/>
      <c r="B100" s="74"/>
      <c r="C100" s="74"/>
      <c r="D100" s="75"/>
      <c r="E100" s="416"/>
      <c r="F100" s="416"/>
      <c r="G100" s="416"/>
      <c r="H100" s="416"/>
      <c r="I100" s="416"/>
      <c r="J100" s="355"/>
      <c r="R100" s="406"/>
      <c r="S100" s="407"/>
    </row>
  </sheetData>
  <sheetProtection sheet="1"/>
  <mergeCells count="47">
    <mergeCell ref="F90:I90"/>
    <mergeCell ref="C80:I82"/>
    <mergeCell ref="G92:I92"/>
    <mergeCell ref="B95:I95"/>
    <mergeCell ref="B96:I96"/>
    <mergeCell ref="D99:E99"/>
    <mergeCell ref="F99:I99"/>
    <mergeCell ref="A84:C85"/>
    <mergeCell ref="A86:C87"/>
    <mergeCell ref="F86:I86"/>
    <mergeCell ref="F88:I88"/>
    <mergeCell ref="A60:I60"/>
    <mergeCell ref="A61:I63"/>
    <mergeCell ref="A65:I65"/>
    <mergeCell ref="A66:I68"/>
    <mergeCell ref="A92:F92"/>
    <mergeCell ref="A69:I69"/>
    <mergeCell ref="A73:G73"/>
    <mergeCell ref="H73:I73"/>
    <mergeCell ref="A76:C76"/>
    <mergeCell ref="A77:C77"/>
    <mergeCell ref="A50:D50"/>
    <mergeCell ref="E50:F50"/>
    <mergeCell ref="A51:B51"/>
    <mergeCell ref="C51:I51"/>
    <mergeCell ref="A53:I56"/>
    <mergeCell ref="A59:E59"/>
    <mergeCell ref="A47:C47"/>
    <mergeCell ref="D47:F47"/>
    <mergeCell ref="G47:I47"/>
    <mergeCell ref="A48:C48"/>
    <mergeCell ref="A49:D49"/>
    <mergeCell ref="E49:F49"/>
    <mergeCell ref="G49:H49"/>
    <mergeCell ref="A42:B42"/>
    <mergeCell ref="C42:I44"/>
    <mergeCell ref="A45:B45"/>
    <mergeCell ref="C45:I45"/>
    <mergeCell ref="A46:B46"/>
    <mergeCell ref="C46:I46"/>
    <mergeCell ref="B1:E1"/>
    <mergeCell ref="L33:M33"/>
    <mergeCell ref="A34:I34"/>
    <mergeCell ref="A35:I35"/>
    <mergeCell ref="A36:I38"/>
    <mergeCell ref="A41:C41"/>
    <mergeCell ref="D41:I41"/>
  </mergeCells>
  <conditionalFormatting sqref="B95:I97">
    <cfRule type="cellIs" priority="6" dxfId="39" operator="equal" stopIfTrue="1">
      <formula>" "</formula>
    </cfRule>
  </conditionalFormatting>
  <conditionalFormatting sqref="E85:E91 G92:G93 I93">
    <cfRule type="cellIs" priority="5" dxfId="40" operator="notEqual" stopIfTrue="1">
      <formula>"« __ » ___________  20__ г."</formula>
    </cfRule>
  </conditionalFormatting>
  <conditionalFormatting sqref="D76:D77">
    <cfRule type="cellIs" priority="4" dxfId="41" operator="equal" stopIfTrue="1">
      <formula>"уточните должность"</formula>
    </cfRule>
  </conditionalFormatting>
  <conditionalFormatting sqref="F85 F87 F89">
    <cfRule type="cellIs" priority="3" dxfId="41" operator="equal" stopIfTrue="1">
      <formula>"нет данных"</formula>
    </cfRule>
  </conditionalFormatting>
  <dataValidations count="4"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 в пп.  1  и  2      -  0 баллов&#10;" sqref="C80:I82"/>
    <dataValidation errorStyle="information" allowBlank="1" showInputMessage="1" showErrorMessage="1" promptTitle="Внимание!" prompt="Введите данные на листе &#10;&quot;Общие сведения&quot;" sqref="D41:I41 A41:B51 C41:C43 C45:I51 F59"/>
    <dataValidation allowBlank="1" showInputMessage="1" showErrorMessage="1" promptTitle="Внимание!" prompt="Введите должность на листе&#10;&quot;Общие сведения&quot;&#10;" sqref="D76:D77"/>
    <dataValidation allowBlank="1" showInputMessage="1" showErrorMessage="1" promptTitle="Внимание!" prompt="Введите данные на листе &#10;&quot;Общие сведения&quot;" sqref="AT53:BE58 A61:I63 C53:I58 A53:B57 F77 F90:F91 F88 F86 F89:I89 F87:I87 F85:I85 A90:A93 F98:F99 G92:G93 I93"/>
  </dataValidations>
  <hyperlinks>
    <hyperlink ref="B1" location="'общие сведения'!A1" display="Перейти на лист &quot;общие сведения&quot;"/>
    <hyperlink ref="B1:E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362204724409449" top="1.2598425196850394" bottom="0.2362204724409449" header="0.5118110236220472" footer="0.2755905511811024"/>
  <pageSetup fitToHeight="0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АСОУ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2018-08-02T09:15:31Z</cp:lastPrinted>
  <dcterms:created xsi:type="dcterms:W3CDTF">2012-04-17T12:38:08Z</dcterms:created>
  <dcterms:modified xsi:type="dcterms:W3CDTF">2018-08-21T09:40:32Z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